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30" windowWidth="19170" windowHeight="6675" tabRatio="682" activeTab="0"/>
  </bookViews>
  <sheets>
    <sheet name="0 Úvod" sheetId="1" r:id="rId1"/>
    <sheet name="1 CIN" sheetId="2" r:id="rId2"/>
    <sheet name="2 ZH" sheetId="3" r:id="rId3"/>
    <sheet name="3 Náklady I" sheetId="4" r:id="rId4"/>
    <sheet name="4 Příjmy" sheetId="5" r:id="rId5"/>
    <sheet name="5 Úspory OI" sheetId="6" r:id="rId6"/>
    <sheet name="6 Úspory ND" sheetId="7" r:id="rId7"/>
    <sheet name="7 Externality" sheetId="8" r:id="rId8"/>
    <sheet name="8 Osobní a rekreační plavba" sheetId="9" r:id="rId9"/>
    <sheet name="9 Ostatní" sheetId="10" r:id="rId10"/>
    <sheet name="10a Ekonomická analýza" sheetId="11" r:id="rId11"/>
    <sheet name="10b Finanční analýza" sheetId="12" r:id="rId12"/>
    <sheet name="11 Finanční udržitelnost" sheetId="13" r:id="rId13"/>
    <sheet name="Slovnik" sheetId="14" r:id="rId14"/>
  </sheets>
  <definedNames>
    <definedName name="_xlnm.Print_Area" localSheetId="0">'0 Úvod'!$B$2:$O$80</definedName>
    <definedName name="_xlnm.Print_Area" localSheetId="1">'1 CIN'!$B$2:$AE$68</definedName>
    <definedName name="_xlnm.Print_Area" localSheetId="10">'10a Ekonomická analýza'!$B$2:$AD$44</definedName>
    <definedName name="_xlnm.Print_Area" localSheetId="11">'10b Finanční analýza'!$B$2:$AC$34</definedName>
    <definedName name="_xlnm.Print_Area" localSheetId="12">'11 Finanční udržitelnost'!$B$2:$AC$39</definedName>
    <definedName name="_xlnm.Print_Area" localSheetId="2">'2 ZH'!$B$2:$AC$61</definedName>
    <definedName name="_xlnm.Print_Area" localSheetId="3">'3 Náklady I'!$B$2:$AC$91</definedName>
    <definedName name="_xlnm.Print_Area" localSheetId="4">'4 Příjmy'!$B$2:$AC$46</definedName>
    <definedName name="_xlnm.Print_Area" localSheetId="5">'5 Úspory OI'!$B$2:$AC$68</definedName>
    <definedName name="_xlnm.Print_Area" localSheetId="6">'6 Úspory ND'!$B$2:$AC$101</definedName>
    <definedName name="_xlnm.Print_Area" localSheetId="7">'7 Externality'!$B$2:$AC$147</definedName>
    <definedName name="_xlnm.Print_Area" localSheetId="8">'8 Osobní a rekreační plavba'!$B$2:$AD$105</definedName>
    <definedName name="_xlnm.Print_Area" localSheetId="9">'9 Ostatní'!$B$2:$AC$64</definedName>
    <definedName name="_xlnm.Print_Area" localSheetId="13">'Slovnik'!$B$1:$G$4</definedName>
  </definedNames>
  <calcPr fullCalcOnLoad="1"/>
</workbook>
</file>

<file path=xl/comments1.xml><?xml version="1.0" encoding="utf-8"?>
<comments xmlns="http://schemas.openxmlformats.org/spreadsheetml/2006/main">
  <authors>
    <author>Ing. Dominik Žďánský</author>
  </authors>
  <commentList>
    <comment ref="N18" authorId="0">
      <text>
        <r>
          <rPr>
            <sz val="9"/>
            <rFont val="Tahoma"/>
            <family val="2"/>
          </rPr>
          <t xml:space="preserve">DPH se mění v čase a hodnocení. V případě potřeby se může DPH měnit dle skutečnosti a potřeby.
</t>
        </r>
      </text>
    </comment>
  </commentList>
</comments>
</file>

<file path=xl/comments10.xml><?xml version="1.0" encoding="utf-8"?>
<comments xmlns="http://schemas.openxmlformats.org/spreadsheetml/2006/main">
  <authors>
    <author>Ing. Dominik Žďánský</author>
  </authors>
  <commentList>
    <comment ref="L4" authorId="0">
      <text>
        <r>
          <rPr>
            <sz val="9"/>
            <rFont val="Tahoma"/>
            <family val="2"/>
          </rPr>
          <t xml:space="preserve">
předpoklad, že by musel být minimálně do roku 2015 přestavěn
</t>
        </r>
      </text>
    </comment>
  </commentList>
</comments>
</file>

<file path=xl/comments2.xml><?xml version="1.0" encoding="utf-8"?>
<comments xmlns="http://schemas.openxmlformats.org/spreadsheetml/2006/main">
  <authors>
    <author>Ing. Dominik Žďánský</author>
  </authors>
  <commentList>
    <comment ref="C13" authorId="0">
      <text>
        <r>
          <rPr>
            <sz val="9"/>
            <rFont val="Tahoma"/>
            <family val="2"/>
          </rPr>
          <t xml:space="preserve">DPH se mění v čase a hodnocení. V případě potřeby se může DPH měnit dle skutečnosti a potřeby.
</t>
        </r>
      </text>
    </comment>
    <comment ref="C27" authorId="0">
      <text>
        <r>
          <rPr>
            <sz val="9"/>
            <rFont val="Tahoma"/>
            <family val="2"/>
          </rPr>
          <t xml:space="preserve">DPH se mění v čase a hodnocení. V případě potřeby se může DPH měnit dle skutečnosti a potřeby.
</t>
        </r>
      </text>
    </comment>
    <comment ref="C44" authorId="0">
      <text>
        <r>
          <rPr>
            <sz val="9"/>
            <rFont val="Tahoma"/>
            <family val="2"/>
          </rPr>
          <t xml:space="preserve">DPH se mění v čase a hodnocení. V případě potřeby se může DPH měnit dle skutečnosti a potřeby.
</t>
        </r>
      </text>
    </comment>
    <comment ref="C60" authorId="0">
      <text>
        <r>
          <rPr>
            <sz val="9"/>
            <rFont val="Tahoma"/>
            <family val="2"/>
          </rPr>
          <t xml:space="preserve">DPH se mění v čase a hodnocení. V případě potřeby se může DPH měnit dle skutečnosti a potřeby.
</t>
        </r>
      </text>
    </comment>
  </commentList>
</comments>
</file>

<file path=xl/comments4.xml><?xml version="1.0" encoding="utf-8"?>
<comments xmlns="http://schemas.openxmlformats.org/spreadsheetml/2006/main">
  <authors>
    <author>Ing. Dominik Žďánský</author>
  </authors>
  <commentList>
    <comment ref="L25" authorId="0">
      <text>
        <r>
          <rPr>
            <sz val="9"/>
            <rFont val="Tahoma"/>
            <family val="2"/>
          </rPr>
          <t>MOST Tyn n.Vltavou</t>
        </r>
      </text>
    </comment>
  </commentList>
</comments>
</file>

<file path=xl/comments9.xml><?xml version="1.0" encoding="utf-8"?>
<comments xmlns="http://schemas.openxmlformats.org/spreadsheetml/2006/main">
  <authors>
    <author>Ing. Dominik Žďánský</author>
  </authors>
  <commentList>
    <comment ref="I70" authorId="0">
      <text>
        <r>
          <rPr>
            <b/>
            <sz val="9"/>
            <rFont val="Tahoma"/>
            <family val="2"/>
          </rPr>
          <t>Ing. Dominik Žďánský:</t>
        </r>
        <r>
          <rPr>
            <sz val="9"/>
            <rFont val="Tahoma"/>
            <family val="2"/>
          </rPr>
          <t xml:space="preserve">
Poměr skladby celkových nákladů</t>
        </r>
      </text>
    </comment>
    <comment ref="I71" authorId="0">
      <text>
        <r>
          <rPr>
            <b/>
            <sz val="9"/>
            <rFont val="Tahoma"/>
            <family val="2"/>
          </rPr>
          <t>Ing. Dominik Žďánský:</t>
        </r>
        <r>
          <rPr>
            <sz val="9"/>
            <rFont val="Tahoma"/>
            <family val="2"/>
          </rPr>
          <t xml:space="preserve">
Poměr celkové skladby nákladů</t>
        </r>
      </text>
    </comment>
    <comment ref="D86" authorId="0">
      <text>
        <r>
          <rPr>
            <b/>
            <sz val="9"/>
            <rFont val="Tahoma"/>
            <family val="2"/>
          </rPr>
          <t>Ing. Dominik Žďánský:</t>
        </r>
        <r>
          <rPr>
            <sz val="9"/>
            <rFont val="Tahoma"/>
            <family val="2"/>
          </rPr>
          <t xml:space="preserve">
průměrná hrubá měsíční mzda v roce 2008 v cestovním ruchu</t>
        </r>
      </text>
    </comment>
    <comment ref="B8" authorId="0">
      <text>
        <r>
          <rPr>
            <sz val="9"/>
            <rFont val="Tahoma"/>
            <family val="2"/>
          </rPr>
          <t xml:space="preserve">Celá přidaná hodnota takové výroby činí v ČR 35%
</t>
        </r>
      </text>
    </comment>
    <comment ref="U72" authorId="0">
      <text>
        <r>
          <rPr>
            <b/>
            <sz val="9"/>
            <rFont val="Tahoma"/>
            <family val="2"/>
          </rPr>
          <t>Ing. Dominik Žďánský:</t>
        </r>
        <r>
          <rPr>
            <sz val="9"/>
            <rFont val="Tahoma"/>
            <family val="2"/>
          </rPr>
          <t xml:space="preserve">
Úžitý průměr ČSÚ</t>
        </r>
      </text>
    </comment>
    <comment ref="I72" authorId="0">
      <text>
        <r>
          <rPr>
            <b/>
            <sz val="9"/>
            <rFont val="Tahoma"/>
            <family val="2"/>
          </rPr>
          <t>Ing. Dominik Žďánský:</t>
        </r>
        <r>
          <rPr>
            <sz val="9"/>
            <rFont val="Tahoma"/>
            <family val="2"/>
          </rPr>
          <t xml:space="preserve">
Buňky I68 x U72</t>
        </r>
      </text>
    </comment>
  </commentList>
</comments>
</file>

<file path=xl/sharedStrings.xml><?xml version="1.0" encoding="utf-8"?>
<sst xmlns="http://schemas.openxmlformats.org/spreadsheetml/2006/main" count="894" uniqueCount="630">
  <si>
    <t xml:space="preserve">Cash Flow </t>
  </si>
  <si>
    <t xml:space="preserve"> </t>
  </si>
  <si>
    <t>K-J</t>
  </si>
  <si>
    <t>D=(A+B)-C if D&lt;0 then D=0</t>
  </si>
  <si>
    <t>(A+B)-C</t>
  </si>
  <si>
    <t>(F+G)-H</t>
  </si>
  <si>
    <t>(F+G)-(A+B)</t>
  </si>
  <si>
    <t>I-D</t>
  </si>
  <si>
    <t>I-E</t>
  </si>
  <si>
    <t>1.1.</t>
  </si>
  <si>
    <t>1.2.</t>
  </si>
  <si>
    <t>6.1.</t>
  </si>
  <si>
    <t>7.3.</t>
  </si>
  <si>
    <t>8.1.</t>
  </si>
  <si>
    <t>8.2.</t>
  </si>
  <si>
    <t>10.1.</t>
  </si>
  <si>
    <t>9.1.</t>
  </si>
  <si>
    <t>a</t>
  </si>
  <si>
    <t xml:space="preserve">10.1. </t>
  </si>
  <si>
    <t>b</t>
  </si>
  <si>
    <t>7.1.</t>
  </si>
  <si>
    <t>5.1.</t>
  </si>
  <si>
    <t>4.1.</t>
  </si>
  <si>
    <t>4.2.</t>
  </si>
  <si>
    <t>3.1.</t>
  </si>
  <si>
    <t>3.2.</t>
  </si>
  <si>
    <t>2.1.</t>
  </si>
  <si>
    <t>2.2.</t>
  </si>
  <si>
    <t>2.3.</t>
  </si>
  <si>
    <t>3.1., 3.2., 3.3</t>
  </si>
  <si>
    <t>2.4.</t>
  </si>
  <si>
    <t>4.1., 4.2.</t>
  </si>
  <si>
    <t>5.4.</t>
  </si>
  <si>
    <t>6.2.</t>
  </si>
  <si>
    <t>6.3.</t>
  </si>
  <si>
    <t>6.1., 6.2., 6.3.</t>
  </si>
  <si>
    <t>7.2.</t>
  </si>
  <si>
    <t>7.1., 7.2, 7.3.</t>
  </si>
  <si>
    <t>9.2.</t>
  </si>
  <si>
    <t>9.1., 9.2.</t>
  </si>
  <si>
    <t>CF</t>
  </si>
  <si>
    <t>Základní informace</t>
  </si>
  <si>
    <t>Diskontní sazba</t>
  </si>
  <si>
    <t>List / tabulka</t>
  </si>
  <si>
    <t>Zůstatková hodnota</t>
  </si>
  <si>
    <t xml:space="preserve"> Ostatní příjmy/náklady</t>
  </si>
  <si>
    <t>Ekonomická analýza</t>
  </si>
  <si>
    <t>rok</t>
  </si>
  <si>
    <t>2015 atd.</t>
  </si>
  <si>
    <t>Celk. projekt. náklady</t>
  </si>
  <si>
    <t>Komentáře</t>
  </si>
  <si>
    <t>Přípravná a projektová dokumentace</t>
  </si>
  <si>
    <t>Stavby a konstrukce</t>
  </si>
  <si>
    <t>Zábory pozemků</t>
  </si>
  <si>
    <t>Stroje a zařízení</t>
  </si>
  <si>
    <t>Úprava ceny (pokud existuje)</t>
  </si>
  <si>
    <t>Technická asistence</t>
  </si>
  <si>
    <t>Propagace</t>
  </si>
  <si>
    <t>Dozor během realizace stavby</t>
  </si>
  <si>
    <t>Oprávněné náklady</t>
  </si>
  <si>
    <t>Neoprávněné náklady</t>
  </si>
  <si>
    <t>Zbytková hodnota investice</t>
  </si>
  <si>
    <t>Diskont. zbytková hodnota investic pro EA</t>
  </si>
  <si>
    <t>Diskontovaná zbytková hodnota investic v EUR</t>
  </si>
  <si>
    <t>Celkem</t>
  </si>
  <si>
    <t>Scénář s projektem</t>
  </si>
  <si>
    <t>Celkové provozní náklady</t>
  </si>
  <si>
    <t>Scénář bez projektu</t>
  </si>
  <si>
    <t>Údržba a opravy silniční infrastruktury</t>
  </si>
  <si>
    <t>Železnice</t>
  </si>
  <si>
    <t>Celkové externí náklady</t>
  </si>
  <si>
    <t>Nehody</t>
  </si>
  <si>
    <t>Znečištění ovzduší</t>
  </si>
  <si>
    <t>Klimatické změny</t>
  </si>
  <si>
    <t>Celkem externí efekty - úspory</t>
  </si>
  <si>
    <t>Externality</t>
  </si>
  <si>
    <t>Hluk</t>
  </si>
  <si>
    <t>Automobil</t>
  </si>
  <si>
    <t>Motocykl</t>
  </si>
  <si>
    <t>Autobus</t>
  </si>
  <si>
    <t>Ostatní příjmy</t>
  </si>
  <si>
    <t>Diskontní cash flow</t>
  </si>
  <si>
    <t>Ekonomické vnitřní výnosové procento ERR</t>
  </si>
  <si>
    <t>Ekonomická čistá současná hodnota ENPV (CZK)</t>
  </si>
  <si>
    <t>Ekonomická čistá současná hodnota ENPV (EUR)</t>
  </si>
  <si>
    <t>Rentabilita nákladů</t>
  </si>
  <si>
    <t>Náklady (CZK)</t>
  </si>
  <si>
    <t>Úvod</t>
  </si>
  <si>
    <t>Tabulka H.1</t>
  </si>
  <si>
    <t>(běžné ceny)</t>
  </si>
  <si>
    <t>Celkové investiční náklady (běžné ceny)</t>
  </si>
  <si>
    <t>Celkové investiční náklady vč. DPH (běžné ceny)</t>
  </si>
  <si>
    <t>Celkové příjmy</t>
  </si>
  <si>
    <t>Celkové náklady</t>
  </si>
  <si>
    <t>Celkové investiční náklady bez rezervy  (konstantní ceny)</t>
  </si>
  <si>
    <t>Rezerva</t>
  </si>
  <si>
    <t>Celkové investiční náklady včetně rezervy (konstantní ceny)</t>
  </si>
  <si>
    <t>Investiční náklady bez rezervy</t>
  </si>
  <si>
    <t>Ochrana životního prostředí</t>
  </si>
  <si>
    <t>Celkem investiční náklady bez rezervy</t>
  </si>
  <si>
    <t>Zůstatková hodnota (záporná)</t>
  </si>
  <si>
    <t>4.3.</t>
  </si>
  <si>
    <t>5.5.</t>
  </si>
  <si>
    <t>6.5.</t>
  </si>
  <si>
    <t>Odpis</t>
  </si>
  <si>
    <t>6.6.</t>
  </si>
  <si>
    <t>Mohou být zahrnuty i jiné přínosy a náklady dle konkrétního projektu. Zpracovatel uvede konkrétní vstupní hodnoty použité při výpočtu.</t>
  </si>
  <si>
    <t xml:space="preserve">Mohou být zahrnuty i jiné přínosy a náklady dle konkrétního projektu. </t>
  </si>
  <si>
    <t>2021 - 2030</t>
  </si>
  <si>
    <t>Index cen stavebních prací</t>
  </si>
  <si>
    <t>Zdroj: „Metodika hodnocení efektivnosti investic - železniční infrastruktura" 2012</t>
  </si>
  <si>
    <t>Pozn. Hodnoty jsou uvedeny v ekonomických cenách, neaplikuje se konverzní faktor</t>
  </si>
  <si>
    <t>Změna měrných hodnot</t>
  </si>
  <si>
    <t>Osobní doprava [EUR/1000 oskm] - výchozí hodnoty IMPACT</t>
  </si>
  <si>
    <t>Nákladní doprava [EUR/1000 tkm] - výchozí hodnoty IMPACT</t>
  </si>
  <si>
    <t>2031 - 2050</t>
  </si>
  <si>
    <t>1.</t>
  </si>
  <si>
    <t>2.</t>
  </si>
  <si>
    <t>3.</t>
  </si>
  <si>
    <t>5.</t>
  </si>
  <si>
    <t>6.</t>
  </si>
  <si>
    <t>7.</t>
  </si>
  <si>
    <t>8.</t>
  </si>
  <si>
    <t>3.3.a</t>
  </si>
  <si>
    <t>3.3.b</t>
  </si>
  <si>
    <t>s aplikací fiskální korekce</t>
  </si>
  <si>
    <t>Doba hodnocení</t>
  </si>
  <si>
    <t>Zábory a nákup pozemků</t>
  </si>
  <si>
    <t>Technická asistence, propagace a dozor</t>
  </si>
  <si>
    <t>Pozemky</t>
  </si>
  <si>
    <t>KF</t>
  </si>
  <si>
    <t>Náklady na údržbu a opravu silniční infrastruktury</t>
  </si>
  <si>
    <t>Náklady na údržbu a opravu železniční infrastruktury</t>
  </si>
  <si>
    <t>Vodní doprava - zvýšení efektivity</t>
  </si>
  <si>
    <t>CZK</t>
  </si>
  <si>
    <t>tkm</t>
  </si>
  <si>
    <t>Údržba a opravy železniční infrastruktury</t>
  </si>
  <si>
    <t>Celkem úspory okolní infrastruktury</t>
  </si>
  <si>
    <t>Celkem náklady infrastruktury</t>
  </si>
  <si>
    <t>Celkem úspory nákladů přepravců</t>
  </si>
  <si>
    <t>Celkem externality</t>
  </si>
  <si>
    <t>Celkem efekty osobní a rekreační plavby</t>
  </si>
  <si>
    <t>Přínosy přímé zaměstnanosti</t>
  </si>
  <si>
    <t>Stínová mzda</t>
  </si>
  <si>
    <t>Počet nových zaměstnanců</t>
  </si>
  <si>
    <t>9.</t>
  </si>
  <si>
    <t>(stálé ceny)</t>
  </si>
  <si>
    <t>Celkové investiční náklady včetně DPH (stálé ceny)</t>
  </si>
  <si>
    <t>Použití</t>
  </si>
  <si>
    <t>Osobní a rekreační plavba</t>
  </si>
  <si>
    <t>Celkové tržby</t>
  </si>
  <si>
    <t xml:space="preserve">Produkce cestovního ruchu </t>
  </si>
  <si>
    <t>Přínos z celkových tržeb v oblasti</t>
  </si>
  <si>
    <t>Celková náklady údržby infrastruktury</t>
  </si>
  <si>
    <t>Vodní cesty</t>
  </si>
  <si>
    <t>plavební kanál</t>
  </si>
  <si>
    <t>údržba toku</t>
  </si>
  <si>
    <t>údržba přístavní zdi</t>
  </si>
  <si>
    <t>provoz v Kč</t>
  </si>
  <si>
    <t>opravy v Kč</t>
  </si>
  <si>
    <t>plavební komory - I.třída vodní cesty</t>
  </si>
  <si>
    <t>plavební komory - IV. a V. třída, délka do 110 m</t>
  </si>
  <si>
    <t>plavební komory - IV. a V. třída, délka do 190 m</t>
  </si>
  <si>
    <t>plavební komory - V. třída, šířka nad 22 m</t>
  </si>
  <si>
    <t>jezy - dolní Labe</t>
  </si>
  <si>
    <t>jezy - střední Labe</t>
  </si>
  <si>
    <t>jezy - dolní Vltava</t>
  </si>
  <si>
    <t>přehrady Vltava</t>
  </si>
  <si>
    <t>Seznam tabulek ekonomcické analýzy</t>
  </si>
  <si>
    <t>Seznam tabulek finanční analýzy</t>
  </si>
  <si>
    <t>Příjmy</t>
  </si>
  <si>
    <t>Finanční analýza</t>
  </si>
  <si>
    <t>Realný růst HDP</t>
  </si>
  <si>
    <t>Finanční Udržitelnost</t>
  </si>
  <si>
    <t>Popis scénáře bez projektu</t>
  </si>
  <si>
    <t>Popis scénáře s projektem</t>
  </si>
  <si>
    <t>Přírůstek cash-flow</t>
  </si>
  <si>
    <t>Příjmy z poplatků za infrastrukturu</t>
  </si>
  <si>
    <t>Stálé ceny</t>
  </si>
  <si>
    <t>Total</t>
  </si>
  <si>
    <t>Úvěry</t>
  </si>
  <si>
    <t>Celkové zdroje žadatele</t>
  </si>
  <si>
    <t>Zdroje státního rozpočtu</t>
  </si>
  <si>
    <t>Granty EU</t>
  </si>
  <si>
    <t>Dotace</t>
  </si>
  <si>
    <t>Celkové investiční náklady</t>
  </si>
  <si>
    <t>Splácení jistiny úvěru</t>
  </si>
  <si>
    <t>Splácení úroků z úvěru</t>
  </si>
  <si>
    <t>Celkové výdaje</t>
  </si>
  <si>
    <t>Cash Flow pro příslušný rok</t>
  </si>
  <si>
    <t xml:space="preserve">Kumulované Cash Flow </t>
  </si>
  <si>
    <t>Celkové přírůstkové provozní příjmy</t>
  </si>
  <si>
    <t>Celkové výnosy</t>
  </si>
  <si>
    <t>Celkové přírůstkové provozní náklady</t>
  </si>
  <si>
    <t>Celkové invest. náklady bez rezervy</t>
  </si>
  <si>
    <t>Diskontované cash flow</t>
  </si>
  <si>
    <t>Úpravy vodního toku a terénní úpravy</t>
  </si>
  <si>
    <t xml:space="preserve">Pozemní stavby </t>
  </si>
  <si>
    <t>Komunikace a zpevněné plochy</t>
  </si>
  <si>
    <t>Přístavní zdi</t>
  </si>
  <si>
    <t>Udržitelnost projektu</t>
  </si>
  <si>
    <t>Diskontní sazba EA</t>
  </si>
  <si>
    <t>Diskontní sazba FA</t>
  </si>
  <si>
    <t>Kalkulace zůstatkové hodnoty</t>
  </si>
  <si>
    <t>Celkové investiční náklady *</t>
  </si>
  <si>
    <t>Životnost</t>
  </si>
  <si>
    <t>11.1.</t>
  </si>
  <si>
    <t>Diskont. zbytková hodnota investic pro FA</t>
  </si>
  <si>
    <t>pořadí</t>
  </si>
  <si>
    <t xml:space="preserve">Česky </t>
  </si>
  <si>
    <t>General information</t>
  </si>
  <si>
    <t>Introduction</t>
  </si>
  <si>
    <t>Data Source</t>
  </si>
  <si>
    <t>Discount rate FA</t>
  </si>
  <si>
    <t>Discount rate EA</t>
  </si>
  <si>
    <t>Price level</t>
  </si>
  <si>
    <t>Start of construction</t>
  </si>
  <si>
    <t>Start of operating</t>
  </si>
  <si>
    <t>Exchange rate</t>
  </si>
  <si>
    <t>VAT</t>
  </si>
  <si>
    <t>DPH</t>
  </si>
  <si>
    <t>Scenario description without the project</t>
  </si>
  <si>
    <t>Scenario description with the project</t>
  </si>
  <si>
    <t>Cenová úroveň</t>
  </si>
  <si>
    <t>Začátek stavebních prací</t>
  </si>
  <si>
    <t>Směnný kurz</t>
  </si>
  <si>
    <t>Začátek provozu</t>
  </si>
  <si>
    <t>Appraisal duration</t>
  </si>
  <si>
    <t>Zdroj dat</t>
  </si>
  <si>
    <t>Tento model slouží jako podklad pro zpracování CBA projektů na vodní infrastruktuře. Model je založen na analýze výnosů a nákladů a je plně v souladu s metodikou současné Evropské komise o CBA</t>
  </si>
  <si>
    <t>Jazyk</t>
  </si>
  <si>
    <t>English</t>
  </si>
  <si>
    <t>Language</t>
  </si>
  <si>
    <t>Hrubé hydrotechnické konstrukce *</t>
  </si>
  <si>
    <t>Ocelové konstrukce **</t>
  </si>
  <si>
    <t>Mosty, propustky, tunely a štoly</t>
  </si>
  <si>
    <t>Silnoproudá instalace</t>
  </si>
  <si>
    <t>Slaboproudá instalace</t>
  </si>
  <si>
    <t>Inženýrské objekty (trubní vedení a kabelovody)</t>
  </si>
  <si>
    <t>* hrubé hydrotechnické konstrukce jsou např. železobetonová konstrukce jezu, přehrady, vodní elektrárny nebo zdymadla.</t>
  </si>
  <si>
    <t>** např. vrata zdymadla, turbína a jiné.</t>
  </si>
  <si>
    <t>Vyplnit pouze žlutě podbarvené buňky!</t>
  </si>
  <si>
    <t>Inflation rate of construction prices</t>
  </si>
  <si>
    <t>Real GDP growth</t>
  </si>
  <si>
    <t>Fill in only the yellow filled cells!</t>
  </si>
  <si>
    <t>Sheet / table</t>
  </si>
  <si>
    <t>Total Investment costs</t>
  </si>
  <si>
    <t>Soubor</t>
  </si>
  <si>
    <t>Celkové čisté tunokm</t>
  </si>
  <si>
    <t>Přírůstek / úbytek</t>
  </si>
  <si>
    <t>Rozdíl čistých převedených tunokm</t>
  </si>
  <si>
    <t>Základní měrná hodnota v CÚ 2012</t>
  </si>
  <si>
    <t>Celkové převedené čisté tunokm</t>
  </si>
  <si>
    <t>Nákladní doprava</t>
  </si>
  <si>
    <t>Silniční doprava</t>
  </si>
  <si>
    <t>LUV</t>
  </si>
  <si>
    <t>TUV</t>
  </si>
  <si>
    <t>Železniční doprava</t>
  </si>
  <si>
    <t>Říční doprava</t>
  </si>
  <si>
    <t>Kč/vozokm / vlakokm</t>
  </si>
  <si>
    <t>Diesel</t>
  </si>
  <si>
    <t>Elektro</t>
  </si>
  <si>
    <t>Indukovaná říční doprava</t>
  </si>
  <si>
    <t>Celkové úspory provozních nákladů dopravců</t>
  </si>
  <si>
    <t>Změna stavu s projektem a bez projektu</t>
  </si>
  <si>
    <t>říční doprava bezprojektová</t>
  </si>
  <si>
    <t>5.3.</t>
  </si>
  <si>
    <t>rezerva</t>
  </si>
  <si>
    <t>Celkové úspory</t>
  </si>
  <si>
    <t>tunokm</t>
  </si>
  <si>
    <t>Říční doprava / ponor v cm</t>
  </si>
  <si>
    <t>Přírůstkové celkové náklady</t>
  </si>
  <si>
    <t>Přínos přímé zaměstnanosti</t>
  </si>
  <si>
    <t>Přidaná hodnota výroby plavidel</t>
  </si>
  <si>
    <t>Osobní doprava</t>
  </si>
  <si>
    <t>Změna HDP</t>
  </si>
  <si>
    <t>Nákladní říční</t>
  </si>
  <si>
    <t>Osobní silniční</t>
  </si>
  <si>
    <t>Nákladní silniční</t>
  </si>
  <si>
    <t>Osobní železniční</t>
  </si>
  <si>
    <t>Nákladní železniční</t>
  </si>
  <si>
    <t>Osobní 
říční</t>
  </si>
  <si>
    <t>Ostatní přínosy a náklady projektu</t>
  </si>
  <si>
    <t>8.3.</t>
  </si>
  <si>
    <t>8.5.</t>
  </si>
  <si>
    <t>2.1., 2.2, 2.3</t>
  </si>
  <si>
    <t>7.4. a</t>
  </si>
  <si>
    <t>7.4. b</t>
  </si>
  <si>
    <t>7.5.</t>
  </si>
  <si>
    <t>7.6.</t>
  </si>
  <si>
    <t>6.4.</t>
  </si>
  <si>
    <t>5.2.
a</t>
  </si>
  <si>
    <t>5.2.
b</t>
  </si>
  <si>
    <t>Roční Odpis</t>
  </si>
  <si>
    <t>Výše ročního odpisu</t>
  </si>
  <si>
    <t>Náklady údržby infrastruktury</t>
  </si>
  <si>
    <t>Úspory nákladů dopravců</t>
  </si>
  <si>
    <t>5.1., 5.2., 5.3.</t>
  </si>
  <si>
    <t>8.1., 8.2., 8.3</t>
  </si>
  <si>
    <t>2.1., 2.2, 2.4</t>
  </si>
  <si>
    <t>Inflace</t>
  </si>
  <si>
    <t>*4 zdroj: ČSÚ 2012</t>
  </si>
  <si>
    <t>*5 zdroj: MFČR 2013</t>
  </si>
  <si>
    <t>Inflation rate</t>
  </si>
  <si>
    <t>year</t>
  </si>
  <si>
    <t>realné HDP *4</t>
  </si>
  <si>
    <t>predikce HDP *5</t>
  </si>
  <si>
    <t>* ostatní infrastrukturouje myšlena železniční a silniční infastruktura</t>
  </si>
  <si>
    <t>*other infastructure means railway and roadway</t>
  </si>
  <si>
    <t>Úspory ostatní infrastruktury*</t>
  </si>
  <si>
    <t>Real GDP *4</t>
  </si>
  <si>
    <t>GDP estimate *5</t>
  </si>
  <si>
    <t>V běžných cenách **</t>
  </si>
  <si>
    <t>Current prices **</t>
  </si>
  <si>
    <t>** tabulky pro projektovou žádost</t>
  </si>
  <si>
    <t>** table for Project Application</t>
  </si>
  <si>
    <t>V konstantních cenách</t>
  </si>
  <si>
    <t>Constant prices</t>
  </si>
  <si>
    <t>inflace ***</t>
  </si>
  <si>
    <t>Inflation ***</t>
  </si>
  <si>
    <t>*** zdroj: dopis SFDI, č.j. 1215/SFDI/2279/3624/2012, 28.5.2012, ČNB 2013</t>
  </si>
  <si>
    <t>*** source: SFDI 2012, CNB 2013</t>
  </si>
  <si>
    <t>List of Financial Tables</t>
  </si>
  <si>
    <t>List of Economical Tables</t>
  </si>
  <si>
    <t>Economic Analysis</t>
  </si>
  <si>
    <t>Residual Value</t>
  </si>
  <si>
    <t>Revenues</t>
  </si>
  <si>
    <t>Passanger and fun trip</t>
  </si>
  <si>
    <t>Other Benefits/Costs</t>
  </si>
  <si>
    <t>External effects</t>
  </si>
  <si>
    <t>Other infrastructure savings*</t>
  </si>
  <si>
    <t>Transporter savings</t>
  </si>
  <si>
    <t>Financial Analysis</t>
  </si>
  <si>
    <t>Financial sustainability</t>
  </si>
  <si>
    <t>Reserve</t>
  </si>
  <si>
    <t>Infrastucture Costs</t>
  </si>
  <si>
    <t>*4 source: Czech Statistics Office 2012</t>
  </si>
  <si>
    <t>*5 source: Ministry of Finance 2013</t>
  </si>
  <si>
    <t>Finanční vnitřní výnosové procento investice FRR</t>
  </si>
  <si>
    <t>Finanční čistá současná hodnota investice FNPV (CZK)</t>
  </si>
  <si>
    <t>Finanční čistá současná hodnota investice FNPV (EUR)</t>
  </si>
  <si>
    <t>Multiplikační efekt mezispotřeby</t>
  </si>
  <si>
    <t>Efekt mezispotřeby</t>
  </si>
  <si>
    <t>8.4.a</t>
  </si>
  <si>
    <t>8.4.b</t>
  </si>
  <si>
    <t>Scenář bez projektu</t>
  </si>
  <si>
    <t>2 ZH</t>
  </si>
  <si>
    <t>3 Náklady I</t>
  </si>
  <si>
    <t>1 CIN</t>
  </si>
  <si>
    <t>4 Příjmy</t>
  </si>
  <si>
    <t>Investment costs excl. Contingencies</t>
  </si>
  <si>
    <t>Discounted investment residual value for FA</t>
  </si>
  <si>
    <t>Discounted investment RV in EUR</t>
  </si>
  <si>
    <t>Depreciation</t>
  </si>
  <si>
    <t>Discounted investment residual value for EA</t>
  </si>
  <si>
    <t>Total Depreciation</t>
  </si>
  <si>
    <t xml:space="preserve">Investment residual value </t>
  </si>
  <si>
    <t>Environment protection measures</t>
  </si>
  <si>
    <t>Ground buildings</t>
  </si>
  <si>
    <t>Bridges, tunnels and culverts</t>
  </si>
  <si>
    <t>Stell constructions **</t>
  </si>
  <si>
    <t>Concrete hydrotechnic construction *</t>
  </si>
  <si>
    <t>Guay walls</t>
  </si>
  <si>
    <t>High-voltage  installations</t>
  </si>
  <si>
    <t>Low-voltage installations</t>
  </si>
  <si>
    <t>Roads and paved areas</t>
  </si>
  <si>
    <t>Engineering objects (pipe lines and ducts)</t>
  </si>
  <si>
    <t>Watercourse and landscaping</t>
  </si>
  <si>
    <t>* Gross hydrotechnical construction as reinforced concrete weir, dam, hydropower or lock.</t>
  </si>
  <si>
    <t>** Eg. lock gates, turbines and others.</t>
  </si>
  <si>
    <t>(constant prices)</t>
  </si>
  <si>
    <t>Planning/design fees</t>
  </si>
  <si>
    <t>Land purchase</t>
  </si>
  <si>
    <t>Building and construction</t>
  </si>
  <si>
    <t>Plant and machinery</t>
  </si>
  <si>
    <t>Technical assistance, publicity, supervision</t>
  </si>
  <si>
    <t>Total Investment Cost exl.contingencies (constant prices)</t>
  </si>
  <si>
    <t>Contingencies</t>
  </si>
  <si>
    <t>Total Investment Cost inc.contingencies (constant prices)</t>
  </si>
  <si>
    <t>Total Investment Cost including VAT (constant prices)</t>
  </si>
  <si>
    <t>(current prices)</t>
  </si>
  <si>
    <t>Table H.1 of PA</t>
  </si>
  <si>
    <t>Price adjustment (if applicable)</t>
  </si>
  <si>
    <t>Technical assistance</t>
  </si>
  <si>
    <t>Publicity</t>
  </si>
  <si>
    <t>Supervision during construction implementation</t>
  </si>
  <si>
    <t>Total Investment Cost (current prices)</t>
  </si>
  <si>
    <t>Total Investment Cost incl. VAT (current prices)</t>
  </si>
  <si>
    <t>Ineligible costs</t>
  </si>
  <si>
    <t>Eligible costs</t>
  </si>
  <si>
    <t>Total project costs</t>
  </si>
  <si>
    <t>Residual Value Calculation</t>
  </si>
  <si>
    <t>Comments</t>
  </si>
  <si>
    <t xml:space="preserve">VAT </t>
  </si>
  <si>
    <t xml:space="preserve">DPH </t>
  </si>
  <si>
    <t>Cost (CZK)</t>
  </si>
  <si>
    <t>Annual depreciation</t>
  </si>
  <si>
    <t>Total Investment Costs</t>
  </si>
  <si>
    <t>Lifespan</t>
  </si>
  <si>
    <t>Total Investment Costs *</t>
  </si>
  <si>
    <t xml:space="preserve">Total Investment Costs </t>
  </si>
  <si>
    <t>Scenario with the project</t>
  </si>
  <si>
    <t>Scenario without the project</t>
  </si>
  <si>
    <t>Total Benefits</t>
  </si>
  <si>
    <t>Total Investment Costs less contingencies</t>
  </si>
  <si>
    <t>Residual Value (negative)</t>
  </si>
  <si>
    <t xml:space="preserve">Total Costs </t>
  </si>
  <si>
    <t>Discount rate</t>
  </si>
  <si>
    <t>Discounted cash flow</t>
  </si>
  <si>
    <t>Total Operating Costs - savings</t>
  </si>
  <si>
    <t>Total Road´s a Railway´s Savings</t>
  </si>
  <si>
    <t>Total External effects</t>
  </si>
  <si>
    <t>Economic Internal Rate of Return ERR</t>
  </si>
  <si>
    <t>Economic Net Present Value ENPV (CZK)</t>
  </si>
  <si>
    <t>Benefit / Cost Ratio</t>
  </si>
  <si>
    <t>Economic Net Present Value ENPV (EUR)</t>
  </si>
  <si>
    <t>Other benefits and costs from a particular project may be included.</t>
  </si>
  <si>
    <t>Total Transporters Cost savings</t>
  </si>
  <si>
    <t>Other Costs and Benefits</t>
  </si>
  <si>
    <t>Total Personal effects and recreational boating</t>
  </si>
  <si>
    <t>10a Ekonomická analýza</t>
  </si>
  <si>
    <t>Other benefits and costs from a particular project may be included. The processor will specify the values used in the calculation.</t>
  </si>
  <si>
    <t>Other costs and benefits</t>
  </si>
  <si>
    <t>Incremental cash-flow</t>
  </si>
  <si>
    <t>Přírůstkové cash-flow</t>
  </si>
  <si>
    <t>8 Osobní a rekreační plavba</t>
  </si>
  <si>
    <t>Used</t>
  </si>
  <si>
    <t>Personal and recreational boating</t>
  </si>
  <si>
    <t>Total revenues</t>
  </si>
  <si>
    <t>Source: Central Commisson ot the navigation of the Rhine ,2012</t>
  </si>
  <si>
    <t>Source: Czech Statistics Office, 2012</t>
  </si>
  <si>
    <t>Zdroj: Centrální komise pro plavbu na Rýně, sektor říční dopravy, 2012</t>
  </si>
  <si>
    <t>Zdroj: Český statistický úřad, 2012</t>
  </si>
  <si>
    <t xml:space="preserve">Generation of tourist travel </t>
  </si>
  <si>
    <t xml:space="preserve">Intermediate consumption                          </t>
  </si>
  <si>
    <t xml:space="preserve">Gross value added in total:                    </t>
  </si>
  <si>
    <t>Benefits from the total revenue in the territory</t>
  </si>
  <si>
    <t>Intermediate consumption of generation of tourism</t>
  </si>
  <si>
    <t>Intermediate consumption effect</t>
  </si>
  <si>
    <t>Added value of production of vessels</t>
  </si>
  <si>
    <t>Mezispotřeba</t>
  </si>
  <si>
    <t>Hrubá přidaná hodnota celkem:</t>
  </si>
  <si>
    <t>Přidaná hodnota segmentu trhu</t>
  </si>
  <si>
    <t>Added value market segment</t>
  </si>
  <si>
    <t>9 Ostatní</t>
  </si>
  <si>
    <t>Number of new employees</t>
  </si>
  <si>
    <t>Shadow wage</t>
  </si>
  <si>
    <t>Benefits of direct employment</t>
  </si>
  <si>
    <t>10b Finanční analýza</t>
  </si>
  <si>
    <t>7 Externality</t>
  </si>
  <si>
    <t>External costs</t>
  </si>
  <si>
    <t>Externí náklady</t>
  </si>
  <si>
    <t>Total extarnal costs</t>
  </si>
  <si>
    <t>Accidents</t>
  </si>
  <si>
    <t>Noisiness</t>
  </si>
  <si>
    <t>Air pollution</t>
  </si>
  <si>
    <t>Climate changes</t>
  </si>
  <si>
    <t>Passanger transport</t>
  </si>
  <si>
    <t>Freight transport</t>
  </si>
  <si>
    <t>Total External Effects - Savings</t>
  </si>
  <si>
    <t>Freight transport [EUR/1000 ton-km] - IMPACT study</t>
  </si>
  <si>
    <t>Passenger traffic [EUR/1000 pass-km] - IMPACT study</t>
  </si>
  <si>
    <t>Passenger traffic [CZK/1000 pass-km]</t>
  </si>
  <si>
    <t>Freight transport [CZK/1000 ton-km]</t>
  </si>
  <si>
    <t>Automobile</t>
  </si>
  <si>
    <t>Motorbike</t>
  </si>
  <si>
    <t>Bus</t>
  </si>
  <si>
    <t>Railway</t>
  </si>
  <si>
    <t>Light utility vehicles</t>
  </si>
  <si>
    <t>Hard utility vehicles</t>
  </si>
  <si>
    <t>Watherway</t>
  </si>
  <si>
    <t>Raods</t>
  </si>
  <si>
    <t>Voda</t>
  </si>
  <si>
    <t>Silnice</t>
  </si>
  <si>
    <t>Road transport</t>
  </si>
  <si>
    <t>Rail transport</t>
  </si>
  <si>
    <t>Changing the measurement values</t>
  </si>
  <si>
    <t>Freight rail</t>
  </si>
  <si>
    <t>Change in GDP</t>
  </si>
  <si>
    <t xml:space="preserve">Personal river </t>
  </si>
  <si>
    <t>Freight river</t>
  </si>
  <si>
    <t>Personal road</t>
  </si>
  <si>
    <t>Freight road</t>
  </si>
  <si>
    <t>Passenger rail</t>
  </si>
  <si>
    <t>Osobní doprava [CZK/1000 oskm]</t>
  </si>
  <si>
    <t>Nákladní doprava [CZK/1000 tkm]</t>
  </si>
  <si>
    <t>Cenová úroveň 2012</t>
  </si>
  <si>
    <t>Price Level 2012</t>
  </si>
  <si>
    <t>5 Úspory OI</t>
  </si>
  <si>
    <t>6 Úspory ND</t>
  </si>
  <si>
    <t>Nákladní [CZK/ 1000 čisté tkm]</t>
  </si>
  <si>
    <t>11. Finanční udržitelnost</t>
  </si>
  <si>
    <t>This is the proposal of a simple CBA model, which should supplement the current information on results of CBA for Czech waterway projects. The model is based on the incremental analysis and it is fully in line with the current European Commission's methodology on the CBA.</t>
  </si>
  <si>
    <t xml:space="preserve">Price Level </t>
  </si>
  <si>
    <t xml:space="preserve">Cenová úroveň </t>
  </si>
  <si>
    <t>3.4.a</t>
  </si>
  <si>
    <t>3.4.b</t>
  </si>
  <si>
    <t>3.5.</t>
  </si>
  <si>
    <t>Rozdíl mezi stavem s projektem a bez projektu</t>
  </si>
  <si>
    <t>Financial Net Present Value of Capital FNPV/K (CZK)</t>
  </si>
  <si>
    <t>Financial Net Present Value of Capital FNPV/K (EUR)</t>
  </si>
  <si>
    <t>Financial Internal Rate of Return FIRR</t>
  </si>
  <si>
    <t>Finanční vnitřní výnosové procento investice FIRR</t>
  </si>
  <si>
    <t xml:space="preserve">Total Returns </t>
  </si>
  <si>
    <t>Incremental Total Operating Costs</t>
  </si>
  <si>
    <t>Incremental Total Operating Revenues</t>
  </si>
  <si>
    <t>Applicant's contribution + National sources</t>
  </si>
  <si>
    <t>Operating Revenues</t>
  </si>
  <si>
    <t>Loan</t>
  </si>
  <si>
    <t>Total Applicant's Sources</t>
  </si>
  <si>
    <t>State Budget Sources</t>
  </si>
  <si>
    <t>EU Grant</t>
  </si>
  <si>
    <t>Subsidies</t>
  </si>
  <si>
    <t>Total Inflows</t>
  </si>
  <si>
    <t>Total Operating Costs</t>
  </si>
  <si>
    <t>Repayment of Loan Principal</t>
  </si>
  <si>
    <t>Repayment of Loan Interests</t>
  </si>
  <si>
    <t>Total Outflows</t>
  </si>
  <si>
    <t>Cash Flow for the current year</t>
  </si>
  <si>
    <t xml:space="preserve">Cumulative Cash Flow </t>
  </si>
  <si>
    <t>Project Sustainability</t>
  </si>
  <si>
    <t>7.7.</t>
  </si>
  <si>
    <t>Celková přeprava oskm / tkm</t>
  </si>
  <si>
    <t>Total transport pass-km/ton-km</t>
  </si>
  <si>
    <t>CZK oskm nebo tkm</t>
  </si>
  <si>
    <t>CZK pass-km or ton-km</t>
  </si>
  <si>
    <t>Zdroj: Handbook on estimation of external costs in tha transport sector - IMPACT 2007</t>
  </si>
  <si>
    <t>Source: Handbook on estimation of external costs in tha transport sector - IMPACT 2007</t>
  </si>
  <si>
    <t>The total cost of infrastructure maintenance</t>
  </si>
  <si>
    <t>Total costs</t>
  </si>
  <si>
    <t>Waterways</t>
  </si>
  <si>
    <t>Shipping canal</t>
  </si>
  <si>
    <t>Stream maintenance</t>
  </si>
  <si>
    <t>Harbor wall maintenance</t>
  </si>
  <si>
    <t>Maintenance file</t>
  </si>
  <si>
    <t>Lock chamber - First class waterways</t>
  </si>
  <si>
    <t>Lock chamber - IV. and Class V, length up to 110 m</t>
  </si>
  <si>
    <t>Lock chamber - IV. and Class V, length up to 190 m</t>
  </si>
  <si>
    <t>Lock chamber - Class V, width of 22 m</t>
  </si>
  <si>
    <t>Weirs - Lower Elbe</t>
  </si>
  <si>
    <t>Weirs - Middle Elbe</t>
  </si>
  <si>
    <t>Weirs - Lower Vltava</t>
  </si>
  <si>
    <t>Dam Vltava</t>
  </si>
  <si>
    <t>The diff. btw. the scenarion of the project and without project</t>
  </si>
  <si>
    <t>with the application of fiscal correction</t>
  </si>
  <si>
    <t>Incremental total costs</t>
  </si>
  <si>
    <t>údržba</t>
  </si>
  <si>
    <t>Maintenance</t>
  </si>
  <si>
    <t>CZK/km</t>
  </si>
  <si>
    <t>CZK/m</t>
  </si>
  <si>
    <t>Operation in CZK</t>
  </si>
  <si>
    <t>Repairs in CZK</t>
  </si>
  <si>
    <t>Revenue from infrastructure charges</t>
  </si>
  <si>
    <t>Celkové provozní příjmy</t>
  </si>
  <si>
    <t>Total Operating Revenue</t>
  </si>
  <si>
    <t>Incremental total operating revenues</t>
  </si>
  <si>
    <t>Total operating revenues</t>
  </si>
  <si>
    <t>Other revenues</t>
  </si>
  <si>
    <t>Maintenance and repair of road infrastructure</t>
  </si>
  <si>
    <t>Maintenance and repair of railway infrastructure</t>
  </si>
  <si>
    <t>Source: "The methodology of evaluation of investment efficiency - Railway Infrastructure" 2012</t>
  </si>
  <si>
    <t>Note: Values ​​are given in economic prices, does not apply to the conversion factor</t>
  </si>
  <si>
    <t>Total transferred to clean tunokm</t>
  </si>
  <si>
    <t>Increase / decrease</t>
  </si>
  <si>
    <t>Celkové provozní náklady dopravců</t>
  </si>
  <si>
    <t>Water transport - increased efficiency</t>
  </si>
  <si>
    <t>Induced river transport</t>
  </si>
  <si>
    <t>CZK / vehicle km / vlakokm</t>
  </si>
  <si>
    <t>Electronics</t>
  </si>
  <si>
    <t>reserve</t>
  </si>
  <si>
    <t>River transport induced</t>
  </si>
  <si>
    <t>River transport / dive in cm</t>
  </si>
  <si>
    <t>Change in with project and without project</t>
  </si>
  <si>
    <t>Total operating costs of freight forwarder</t>
  </si>
  <si>
    <t>Celkové provozní náklady přepravců</t>
  </si>
  <si>
    <t>Basic specific value in price level 2012</t>
  </si>
  <si>
    <t>Total net ton-km</t>
  </si>
  <si>
    <t>The difference in net transferred ton-km</t>
  </si>
  <si>
    <t>Celkové provozní náklady infrastruktury - úspory</t>
  </si>
  <si>
    <t>Total operating costs of infrastructure  - saving</t>
  </si>
  <si>
    <t>Freight [CZK / 1000 net ton-km]</t>
  </si>
  <si>
    <t>ton-km</t>
  </si>
  <si>
    <t>Total savings in operating costs of freight forwarder</t>
  </si>
  <si>
    <t>Total operating cost of freight forwarder</t>
  </si>
  <si>
    <t>Říční doprava projektová</t>
  </si>
  <si>
    <t>River transport</t>
  </si>
  <si>
    <t>The total ton-km</t>
  </si>
  <si>
    <t>Celkové tunokm</t>
  </si>
  <si>
    <t>HUV</t>
  </si>
  <si>
    <t>Říční doprava indukovaná</t>
  </si>
  <si>
    <t>River Transport - scenarion with project</t>
  </si>
  <si>
    <t>River transport - scenario without the project</t>
  </si>
  <si>
    <t>Úspory na silniční a železniční infrastruktuře</t>
  </si>
  <si>
    <t>Road and rail infrastructure savings</t>
  </si>
  <si>
    <t>verze</t>
  </si>
  <si>
    <t>NDCon s.r.o. 2013</t>
  </si>
  <si>
    <t>%</t>
  </si>
  <si>
    <t>Unemployment rate</t>
  </si>
  <si>
    <t>Míra nezaměstnanosti</t>
  </si>
  <si>
    <t>Průměrná mzda nových zaměstnanců</t>
  </si>
  <si>
    <t>Average wage of new employees</t>
  </si>
  <si>
    <t>Průměrná statistická mzda</t>
  </si>
  <si>
    <t>Statistics average wage</t>
  </si>
  <si>
    <t>EUR</t>
  </si>
  <si>
    <t>Přidaná hodnota a efekt mezispotřeby</t>
  </si>
  <si>
    <t>Added value and Intermediate consumption effect</t>
  </si>
  <si>
    <t>10.1.b</t>
  </si>
  <si>
    <t>10.1.a</t>
  </si>
  <si>
    <t>Zábava, oprava a údržba lodí – obor služeb</t>
  </si>
  <si>
    <t>Míra mezispotřeby na celkové produkci cestovního ruchu</t>
  </si>
  <si>
    <t>Reklama, pojištění - obory finančních a marketingových služeb</t>
  </si>
  <si>
    <t>Advertising, Insurance - sector of financial and marketing services</t>
  </si>
  <si>
    <t>Entertainment, repair and maintenance of ships - services industry</t>
  </si>
  <si>
    <t>The multiplier effect of intermediate consumption</t>
  </si>
  <si>
    <t>Tržby z výroby a prodeje plavidel ze zahraničí</t>
  </si>
  <si>
    <t>Tržby z výroby a prodeje plavidel z tuzemska</t>
  </si>
  <si>
    <t>Revenues from the production and sale of ships from home</t>
  </si>
  <si>
    <t>Revenues from the production and sale of ships from abroad</t>
  </si>
  <si>
    <t>V buňce D86 je třeba vyplnit statistickou mzdu a míru nezaměstnanosti (průměr posuzované oblasti, kraji)a počet nově vytvořených pracovních míst a průměrnou mzdu nově vytvořených pracovních míst.</t>
  </si>
  <si>
    <t>Vodní díla</t>
  </si>
  <si>
    <t>Údržba toku - povodí Vltava</t>
  </si>
  <si>
    <t>Periodické opravy</t>
  </si>
  <si>
    <t>průměr</t>
  </si>
  <si>
    <t>mezispotřeba celkem</t>
  </si>
  <si>
    <t>z toho související odvětví</t>
  </si>
  <si>
    <t>poměr hodnot</t>
  </si>
  <si>
    <t>Tabulka 8.4.c TSA - Výrobní účty jednotlivých odvětví cestovního ruchu a ostatních odvětví v ČR</t>
  </si>
  <si>
    <t>Zdroj: ČSÚ 2013</t>
  </si>
  <si>
    <t>Tabulka 8.4b vychází z nové tabulky 8.4.c TSA - Výrobní účty jednotlivých odvětví cestovního ruchu a ostatních odvětví v ČR</t>
  </si>
  <si>
    <t>1.05</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</si>
</sst>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quot;;[Red]\-#,##0&quot;€&quot;"/>
    <numFmt numFmtId="165" formatCode="_-* #,##0.00\ _S_k_-;\-* #,##0.00\ _S_k_-;_-* &quot;-&quot;??\ _S_k_-;_-@_-"/>
    <numFmt numFmtId="166" formatCode="0.0"/>
    <numFmt numFmtId="167" formatCode="0.0%"/>
    <numFmt numFmtId="168" formatCode="#,##0.0"/>
    <numFmt numFmtId="169" formatCode="0.000"/>
    <numFmt numFmtId="170" formatCode="#,##0.00\ _€"/>
    <numFmt numFmtId="171" formatCode="0.0000"/>
    <numFmt numFmtId="172" formatCode="#,##0\ _€"/>
    <numFmt numFmtId="173" formatCode="0.000%"/>
    <numFmt numFmtId="174" formatCode="#,##0.000"/>
    <numFmt numFmtId="175" formatCode="\P\L\ 0"/>
    <numFmt numFmtId="176" formatCode="\V\A\T\ 0.0,%"/>
    <numFmt numFmtId="177" formatCode="#,##0.0000000000000000000\ _€"/>
    <numFmt numFmtId="178" formatCode="\C\Ú\ 0"/>
    <numFmt numFmtId="179" formatCode="&quot;DPH&quot;\ 0.0,%"/>
    <numFmt numFmtId="180" formatCode="[$€-2]\ #,##0"/>
  </numFmts>
  <fonts count="104">
    <font>
      <sz val="10"/>
      <name val="Arial"/>
      <family val="0"/>
    </font>
    <font>
      <sz val="11"/>
      <color indexed="8"/>
      <name val="Calibri"/>
      <family val="2"/>
    </font>
    <font>
      <i/>
      <sz val="10"/>
      <color indexed="12"/>
      <name val="MS Sans Serif"/>
      <family val="2"/>
    </font>
    <font>
      <sz val="8"/>
      <color indexed="8"/>
      <name val="Arial"/>
      <family val="2"/>
    </font>
    <font>
      <b/>
      <sz val="8"/>
      <color indexed="8"/>
      <name val="Arial"/>
      <family val="2"/>
    </font>
    <font>
      <b/>
      <sz val="14"/>
      <name val="Arial"/>
      <family val="2"/>
    </font>
    <font>
      <sz val="14"/>
      <name val="Arial"/>
      <family val="2"/>
    </font>
    <font>
      <sz val="8"/>
      <name val="Arial"/>
      <family val="2"/>
    </font>
    <font>
      <sz val="8"/>
      <color indexed="10"/>
      <name val="Arial"/>
      <family val="2"/>
    </font>
    <font>
      <b/>
      <sz val="10"/>
      <name val="Arial"/>
      <family val="2"/>
    </font>
    <font>
      <b/>
      <sz val="10"/>
      <color indexed="8"/>
      <name val="Arial"/>
      <family val="2"/>
    </font>
    <font>
      <sz val="9"/>
      <color indexed="8"/>
      <name val="Arial"/>
      <family val="2"/>
    </font>
    <font>
      <b/>
      <sz val="9"/>
      <color indexed="8"/>
      <name val="Arial"/>
      <family val="2"/>
    </font>
    <font>
      <sz val="9"/>
      <name val="Arial"/>
      <family val="2"/>
    </font>
    <font>
      <i/>
      <sz val="10"/>
      <color indexed="8"/>
      <name val="Arial"/>
      <family val="2"/>
    </font>
    <font>
      <b/>
      <sz val="9"/>
      <name val="Arial"/>
      <family val="2"/>
    </font>
    <font>
      <sz val="9"/>
      <color indexed="8"/>
      <name val="Arial CE"/>
      <family val="2"/>
    </font>
    <font>
      <sz val="8"/>
      <color indexed="23"/>
      <name val="Arial"/>
      <family val="2"/>
    </font>
    <font>
      <sz val="10"/>
      <color indexed="14"/>
      <name val="Arial"/>
      <family val="2"/>
    </font>
    <font>
      <sz val="10"/>
      <color indexed="10"/>
      <name val="Arial"/>
      <family val="2"/>
    </font>
    <font>
      <sz val="10"/>
      <name val="Courier New"/>
      <family val="3"/>
    </font>
    <font>
      <i/>
      <sz val="9"/>
      <name val="Arial"/>
      <family val="2"/>
    </font>
    <font>
      <b/>
      <sz val="12"/>
      <name val="Arial"/>
      <family val="2"/>
    </font>
    <font>
      <sz val="9"/>
      <name val="Tahoma"/>
      <family val="2"/>
    </font>
    <font>
      <b/>
      <i/>
      <sz val="10"/>
      <color indexed="8"/>
      <name val="Arial"/>
      <family val="2"/>
    </font>
    <font>
      <sz val="10"/>
      <name val="Calibri"/>
      <family val="2"/>
    </font>
    <font>
      <sz val="9"/>
      <name val="Calibri"/>
      <family val="2"/>
    </font>
    <font>
      <b/>
      <sz val="12"/>
      <color indexed="10"/>
      <name val="Calibri"/>
      <family val="2"/>
    </font>
    <font>
      <sz val="10"/>
      <color indexed="11"/>
      <name val="Calibri"/>
      <family val="2"/>
    </font>
    <font>
      <b/>
      <sz val="10"/>
      <name val="Calibri"/>
      <family val="2"/>
    </font>
    <font>
      <b/>
      <sz val="10"/>
      <color indexed="55"/>
      <name val="Calibri"/>
      <family val="2"/>
    </font>
    <font>
      <sz val="10"/>
      <color indexed="55"/>
      <name val="Calibri"/>
      <family val="2"/>
    </font>
    <font>
      <b/>
      <sz val="10"/>
      <color indexed="8"/>
      <name val="Calibri"/>
      <family val="2"/>
    </font>
    <font>
      <sz val="10"/>
      <color indexed="8"/>
      <name val="Calibri"/>
      <family val="2"/>
    </font>
    <font>
      <b/>
      <sz val="12"/>
      <name val="Calibri"/>
      <family val="2"/>
    </font>
    <font>
      <sz val="10"/>
      <color indexed="49"/>
      <name val="Calibri"/>
      <family val="2"/>
    </font>
    <font>
      <sz val="10"/>
      <color indexed="12"/>
      <name val="Calibri"/>
      <family val="2"/>
    </font>
    <font>
      <sz val="9"/>
      <color indexed="8"/>
      <name val="Calibri"/>
      <family val="2"/>
    </font>
    <font>
      <b/>
      <sz val="9"/>
      <color indexed="8"/>
      <name val="Calibri"/>
      <family val="2"/>
    </font>
    <font>
      <b/>
      <sz val="8"/>
      <color indexed="8"/>
      <name val="Calibri"/>
      <family val="2"/>
    </font>
    <font>
      <sz val="8"/>
      <color indexed="8"/>
      <name val="Calibri"/>
      <family val="2"/>
    </font>
    <font>
      <b/>
      <sz val="9"/>
      <name val="Calibri"/>
      <family val="2"/>
    </font>
    <font>
      <i/>
      <sz val="10"/>
      <color indexed="8"/>
      <name val="Calibri"/>
      <family val="2"/>
    </font>
    <font>
      <i/>
      <sz val="9"/>
      <name val="Calibri"/>
      <family val="2"/>
    </font>
    <font>
      <b/>
      <sz val="8"/>
      <name val="Calibri"/>
      <family val="2"/>
    </font>
    <font>
      <sz val="8"/>
      <name val="Calibri"/>
      <family val="2"/>
    </font>
    <font>
      <b/>
      <sz val="8"/>
      <color indexed="10"/>
      <name val="Calibri"/>
      <family val="2"/>
    </font>
    <font>
      <i/>
      <sz val="8"/>
      <name val="Calibri"/>
      <family val="2"/>
    </font>
    <font>
      <b/>
      <sz val="10"/>
      <color indexed="49"/>
      <name val="Calibri"/>
      <family val="2"/>
    </font>
    <font>
      <b/>
      <sz val="10"/>
      <color indexed="10"/>
      <name val="Calibri"/>
      <family val="2"/>
    </font>
    <font>
      <i/>
      <sz val="10"/>
      <color indexed="49"/>
      <name val="Calibri"/>
      <family val="2"/>
    </font>
    <font>
      <sz val="12"/>
      <name val="Calibri"/>
      <family val="2"/>
    </font>
    <font>
      <sz val="10"/>
      <color indexed="8"/>
      <name val="Arial"/>
      <family val="2"/>
    </font>
    <font>
      <b/>
      <i/>
      <sz val="9"/>
      <name val="Arial"/>
      <family val="2"/>
    </font>
    <font>
      <sz val="9"/>
      <color indexed="22"/>
      <name val="Arial"/>
      <family val="2"/>
    </font>
    <font>
      <b/>
      <sz val="9"/>
      <name val="Tahoma"/>
      <family val="2"/>
    </font>
    <font>
      <i/>
      <sz val="9"/>
      <color indexed="8"/>
      <name val="Calibri"/>
      <family val="2"/>
    </font>
    <font>
      <sz val="9"/>
      <color indexed="49"/>
      <name val="Arial"/>
      <family val="2"/>
    </font>
    <font>
      <sz val="9"/>
      <color indexed="49"/>
      <name val="Calibri"/>
      <family val="2"/>
    </font>
    <font>
      <b/>
      <sz val="9"/>
      <color indexed="49"/>
      <name val="Calibri"/>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4"/>
      <name val="Calibri"/>
      <family val="2"/>
    </font>
    <font>
      <b/>
      <sz val="10"/>
      <color theme="4"/>
      <name val="Calibri"/>
      <family val="2"/>
    </font>
    <font>
      <sz val="9"/>
      <color theme="0" tint="-0.24993999302387238"/>
      <name val="Arial"/>
      <family val="2"/>
    </font>
    <font>
      <sz val="9"/>
      <color theme="3" tint="0.39998000860214233"/>
      <name val="Arial"/>
      <family val="2"/>
    </font>
    <font>
      <sz val="9"/>
      <color theme="3" tint="0.39998000860214233"/>
      <name val="Calibri"/>
      <family val="2"/>
    </font>
    <font>
      <b/>
      <sz val="10"/>
      <color theme="3" tint="0.39998000860214233"/>
      <name val="Calibri"/>
      <family val="2"/>
    </font>
    <font>
      <b/>
      <sz val="9"/>
      <color theme="3" tint="0.39998000860214233"/>
      <name val="Calibri"/>
      <family val="2"/>
    </font>
    <font>
      <b/>
      <sz val="10"/>
      <color rgb="FFFF0000"/>
      <name val="Calibri"/>
      <family val="2"/>
    </font>
    <font>
      <i/>
      <sz val="10"/>
      <color theme="4"/>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5999900102615356"/>
        <bgColor indexed="64"/>
      </patternFill>
    </fill>
    <fill>
      <patternFill patternType="solid">
        <fgColor rgb="FFFFFF99"/>
        <bgColor indexed="64"/>
      </patternFill>
    </fill>
  </fills>
  <borders count="168">
    <border>
      <left/>
      <right/>
      <top/>
      <bottom/>
      <diagonal/>
    </border>
    <border>
      <left style="medium"/>
      <right/>
      <top/>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theme="3" tint="0.3999499976634979"/>
      </left>
      <right/>
      <top style="medium">
        <color theme="3" tint="0.3999499976634979"/>
      </top>
      <bottom/>
    </border>
    <border>
      <left/>
      <right/>
      <top style="medium">
        <color theme="3" tint="0.3999499976634979"/>
      </top>
      <bottom/>
    </border>
    <border>
      <left/>
      <right style="medium">
        <color theme="3" tint="0.3999499976634979"/>
      </right>
      <top style="medium">
        <color theme="3" tint="0.3999499976634979"/>
      </top>
      <bottom/>
    </border>
    <border>
      <left style="medium">
        <color theme="3" tint="0.3999499976634979"/>
      </left>
      <right/>
      <top/>
      <bottom/>
    </border>
    <border>
      <left/>
      <right style="medium">
        <color theme="3" tint="0.3999499976634979"/>
      </right>
      <top/>
      <bottom/>
    </border>
    <border>
      <left style="medium">
        <color theme="3" tint="0.3999499976634979"/>
      </left>
      <right/>
      <top/>
      <bottom style="medium">
        <color theme="3" tint="0.3999499976634979"/>
      </bottom>
    </border>
    <border>
      <left/>
      <right/>
      <top/>
      <bottom style="medium">
        <color theme="3" tint="0.3999499976634979"/>
      </bottom>
    </border>
    <border>
      <left/>
      <right style="medium">
        <color theme="3" tint="0.3999499976634979"/>
      </right>
      <top/>
      <bottom style="medium">
        <color theme="3" tint="0.3999499976634979"/>
      </bottom>
    </border>
    <border>
      <left style="medium">
        <color theme="4"/>
      </left>
      <right style="medium">
        <color theme="4"/>
      </right>
      <top style="medium">
        <color theme="4"/>
      </top>
      <bottom style="medium">
        <color theme="4"/>
      </bottom>
    </border>
    <border>
      <left style="medium">
        <color theme="4"/>
      </left>
      <right/>
      <top style="medium">
        <color theme="4"/>
      </top>
      <bottom/>
    </border>
    <border>
      <left/>
      <right/>
      <top style="medium">
        <color theme="4"/>
      </top>
      <bottom/>
    </border>
    <border>
      <left/>
      <right style="medium">
        <color theme="4"/>
      </right>
      <top style="medium">
        <color theme="4"/>
      </top>
      <bottom/>
    </border>
    <border>
      <left style="medium">
        <color theme="4"/>
      </left>
      <right/>
      <top/>
      <bottom/>
    </border>
    <border>
      <left/>
      <right style="medium">
        <color theme="4"/>
      </right>
      <top/>
      <bottom/>
    </border>
    <border>
      <left style="medium">
        <color theme="4"/>
      </left>
      <right/>
      <top/>
      <bottom style="medium">
        <color theme="4"/>
      </bottom>
    </border>
    <border>
      <left/>
      <right/>
      <top/>
      <bottom style="medium">
        <color theme="4"/>
      </bottom>
    </border>
    <border>
      <left/>
      <right style="medium">
        <color theme="4"/>
      </right>
      <top/>
      <bottom style="medium">
        <color theme="4"/>
      </bottom>
    </border>
    <border>
      <left style="thin"/>
      <right/>
      <top/>
      <bottom/>
    </border>
    <border>
      <left/>
      <right/>
      <top style="thin"/>
      <bottom style="thin"/>
    </border>
    <border>
      <left style="thin">
        <color theme="4"/>
      </left>
      <right style="thin">
        <color theme="4"/>
      </right>
      <top/>
      <bottom/>
    </border>
    <border>
      <left/>
      <right style="thin">
        <color theme="4"/>
      </right>
      <top style="thin">
        <color theme="4"/>
      </top>
      <bottom style="thin">
        <color theme="4"/>
      </bottom>
    </border>
    <border>
      <left/>
      <right/>
      <top style="thin">
        <color theme="4"/>
      </top>
      <bottom style="thin">
        <color theme="4"/>
      </bottom>
    </border>
    <border>
      <left/>
      <right style="medium">
        <color theme="4"/>
      </right>
      <top style="thin">
        <color theme="4"/>
      </top>
      <bottom style="thin">
        <color theme="4"/>
      </bottom>
    </border>
    <border>
      <left style="thin">
        <color theme="4"/>
      </left>
      <right style="medium">
        <color theme="4"/>
      </right>
      <top/>
      <bottom/>
    </border>
    <border>
      <left/>
      <right style="medium">
        <color theme="4"/>
      </right>
      <top style="medium">
        <color theme="4"/>
      </top>
      <bottom style="medium">
        <color theme="4"/>
      </bottom>
    </border>
    <border>
      <left/>
      <right/>
      <top style="medium">
        <color theme="4"/>
      </top>
      <bottom style="medium">
        <color theme="4"/>
      </bottom>
    </border>
    <border>
      <left/>
      <right style="medium">
        <color theme="4"/>
      </right>
      <top style="thin"/>
      <bottom style="thin"/>
    </border>
    <border>
      <left style="medium">
        <color theme="4"/>
      </left>
      <right style="medium">
        <color theme="4"/>
      </right>
      <top style="medium">
        <color theme="4"/>
      </top>
      <bottom/>
    </border>
    <border>
      <left/>
      <right style="medium">
        <color theme="4"/>
      </right>
      <top style="medium">
        <color theme="4"/>
      </top>
      <bottom style="thin">
        <color theme="4"/>
      </bottom>
    </border>
    <border>
      <left/>
      <right/>
      <top style="medium">
        <color theme="4"/>
      </top>
      <bottom style="thin">
        <color theme="4"/>
      </bottom>
    </border>
    <border>
      <left style="medium">
        <color theme="4"/>
      </left>
      <right style="medium">
        <color theme="4"/>
      </right>
      <top/>
      <bottom style="medium">
        <color theme="4"/>
      </bottom>
    </border>
    <border>
      <left/>
      <right style="thin"/>
      <top/>
      <bottom/>
    </border>
    <border>
      <left style="medium">
        <color theme="4"/>
      </left>
      <right/>
      <top style="thin">
        <color theme="4"/>
      </top>
      <bottom/>
    </border>
    <border>
      <left/>
      <right/>
      <top style="thin">
        <color theme="4"/>
      </top>
      <bottom/>
    </border>
    <border>
      <left/>
      <right/>
      <top/>
      <bottom style="thin">
        <color theme="4"/>
      </bottom>
    </border>
    <border>
      <left style="thin">
        <color theme="4"/>
      </left>
      <right style="medium">
        <color theme="4"/>
      </right>
      <top style="medium">
        <color theme="4"/>
      </top>
      <bottom style="thin">
        <color theme="4"/>
      </bottom>
    </border>
    <border>
      <left/>
      <right style="medium">
        <color theme="4"/>
      </right>
      <top/>
      <bottom style="thin">
        <color theme="4"/>
      </bottom>
    </border>
    <border>
      <left style="medium">
        <color theme="4"/>
      </left>
      <right/>
      <top style="medium">
        <color theme="4"/>
      </top>
      <bottom style="thin">
        <color theme="4"/>
      </bottom>
    </border>
    <border>
      <left style="medium">
        <color theme="4"/>
      </left>
      <right/>
      <top/>
      <bottom style="thin">
        <color theme="4"/>
      </bottom>
    </border>
    <border>
      <left/>
      <right style="medium">
        <color theme="4"/>
      </right>
      <top style="thin">
        <color theme="4"/>
      </top>
      <bottom/>
    </border>
    <border>
      <left style="medium">
        <color theme="4"/>
      </left>
      <right/>
      <top style="medium">
        <color theme="4"/>
      </top>
      <bottom style="medium">
        <color theme="4"/>
      </bottom>
    </border>
    <border>
      <left/>
      <right style="medium">
        <color theme="4"/>
      </right>
      <top style="medium">
        <color theme="4"/>
      </top>
      <bottom style="thin"/>
    </border>
    <border>
      <left/>
      <right style="medium">
        <color theme="4"/>
      </right>
      <top style="thin"/>
      <bottom style="medium">
        <color theme="4"/>
      </bottom>
    </border>
    <border>
      <left/>
      <right style="thin">
        <color theme="4"/>
      </right>
      <top style="thin">
        <color theme="4"/>
      </top>
      <bottom style="medium">
        <color theme="4"/>
      </bottom>
    </border>
    <border>
      <left style="medium">
        <color theme="4"/>
      </left>
      <right style="thin">
        <color theme="4"/>
      </right>
      <top style="medium">
        <color theme="4"/>
      </top>
      <bottom/>
    </border>
    <border>
      <left/>
      <right style="thin">
        <color theme="4"/>
      </right>
      <top style="medium">
        <color theme="4"/>
      </top>
      <bottom style="thin">
        <color theme="4"/>
      </bottom>
    </border>
    <border>
      <left style="medium">
        <color theme="4"/>
      </left>
      <right style="thin">
        <color theme="4"/>
      </right>
      <top style="medium">
        <color theme="4"/>
      </top>
      <bottom style="thin"/>
    </border>
    <border>
      <left style="medium">
        <color theme="4"/>
      </left>
      <right style="thin">
        <color theme="4"/>
      </right>
      <top style="thin"/>
      <bottom style="thin"/>
    </border>
    <border>
      <left style="medium">
        <color theme="4"/>
      </left>
      <right style="thin">
        <color theme="4"/>
      </right>
      <top style="thin"/>
      <bottom style="medium">
        <color theme="4"/>
      </bottom>
    </border>
    <border>
      <left/>
      <right style="thin">
        <color theme="4"/>
      </right>
      <top/>
      <bottom style="medium">
        <color theme="4"/>
      </bottom>
    </border>
    <border>
      <left style="medium">
        <color theme="4"/>
      </left>
      <right style="medium">
        <color theme="4"/>
      </right>
      <top/>
      <bottom/>
    </border>
    <border>
      <left/>
      <right style="thin">
        <color theme="4"/>
      </right>
      <top/>
      <bottom/>
    </border>
    <border>
      <left/>
      <right style="thin">
        <color theme="4"/>
      </right>
      <top/>
      <bottom style="thin">
        <color theme="4"/>
      </bottom>
    </border>
    <border>
      <left style="medium">
        <color theme="4"/>
      </left>
      <right style="medium">
        <color theme="4"/>
      </right>
      <top style="medium">
        <color theme="4"/>
      </top>
      <bottom style="thin">
        <color theme="4"/>
      </bottom>
    </border>
    <border>
      <left style="thin"/>
      <right style="medium">
        <color theme="4"/>
      </right>
      <top/>
      <bottom/>
    </border>
    <border>
      <left style="thin"/>
      <right style="medium">
        <color theme="4"/>
      </right>
      <top style="medium">
        <color theme="4"/>
      </top>
      <bottom style="medium">
        <color theme="4"/>
      </bottom>
    </border>
    <border>
      <left style="medium">
        <color theme="4"/>
      </left>
      <right style="thin">
        <color theme="4"/>
      </right>
      <top style="thin">
        <color theme="4"/>
      </top>
      <bottom style="medium">
        <color theme="4"/>
      </bottom>
    </border>
    <border>
      <left style="thin"/>
      <right style="medium">
        <color theme="4"/>
      </right>
      <top style="medium">
        <color theme="4"/>
      </top>
      <bottom style="thin">
        <color theme="4"/>
      </bottom>
    </border>
    <border>
      <left style="thin"/>
      <right style="medium">
        <color theme="4"/>
      </right>
      <top style="thin">
        <color theme="4"/>
      </top>
      <bottom style="thin">
        <color theme="4"/>
      </bottom>
    </border>
    <border>
      <left style="medium">
        <color theme="4"/>
      </left>
      <right/>
      <top style="thin">
        <color theme="4"/>
      </top>
      <bottom style="thin">
        <color theme="4"/>
      </bottom>
    </border>
    <border>
      <left style="medium">
        <color theme="4"/>
      </left>
      <right style="thin">
        <color theme="4"/>
      </right>
      <top/>
      <bottom style="thin">
        <color theme="4"/>
      </bottom>
    </border>
    <border>
      <left style="thin">
        <color theme="4"/>
      </left>
      <right style="thin">
        <color theme="4"/>
      </right>
      <top style="medium">
        <color theme="4"/>
      </top>
      <bottom/>
    </border>
    <border>
      <left style="thin">
        <color theme="4"/>
      </left>
      <right style="thin">
        <color theme="4"/>
      </right>
      <top/>
      <bottom style="thin">
        <color theme="4"/>
      </bottom>
    </border>
    <border>
      <left/>
      <right style="thin">
        <color theme="4"/>
      </right>
      <top style="thin">
        <color theme="4"/>
      </top>
      <bottom/>
    </border>
    <border>
      <left style="thin">
        <color theme="4"/>
      </left>
      <right style="thin">
        <color theme="4"/>
      </right>
      <top style="thin">
        <color theme="4"/>
      </top>
      <bottom style="thin">
        <color theme="4"/>
      </bottom>
    </border>
    <border>
      <left style="medium">
        <color theme="4"/>
      </left>
      <right style="medium">
        <color theme="4"/>
      </right>
      <top style="thin">
        <color theme="4"/>
      </top>
      <bottom style="thin">
        <color theme="4"/>
      </bottom>
    </border>
    <border>
      <left style="medium">
        <color theme="4"/>
      </left>
      <right style="medium">
        <color theme="4"/>
      </right>
      <top style="thin">
        <color theme="4"/>
      </top>
      <bottom/>
    </border>
    <border>
      <left style="medium">
        <color theme="4"/>
      </left>
      <right style="medium">
        <color theme="4"/>
      </right>
      <top/>
      <bottom style="thin">
        <color theme="4"/>
      </bottom>
    </border>
    <border>
      <left style="medium">
        <color theme="4"/>
      </left>
      <right style="thin">
        <color theme="4"/>
      </right>
      <top style="medium">
        <color theme="4"/>
      </top>
      <bottom style="medium">
        <color theme="4"/>
      </bottom>
    </border>
    <border>
      <left style="thin">
        <color theme="4"/>
      </left>
      <right style="thin">
        <color theme="4"/>
      </right>
      <top style="thin">
        <color theme="4"/>
      </top>
      <bottom style="medium">
        <color theme="4"/>
      </bottom>
    </border>
    <border>
      <left/>
      <right style="medium">
        <color theme="4"/>
      </right>
      <top style="thin">
        <color theme="4"/>
      </top>
      <bottom style="medium">
        <color theme="4"/>
      </bottom>
    </border>
    <border>
      <left style="medium">
        <color theme="4"/>
      </left>
      <right style="medium">
        <color theme="4"/>
      </right>
      <top style="thin">
        <color theme="4"/>
      </top>
      <bottom style="medium">
        <color theme="4"/>
      </bottom>
    </border>
    <border>
      <left/>
      <right style="thin">
        <color theme="4"/>
      </right>
      <top style="medium">
        <color theme="4"/>
      </top>
      <bottom/>
    </border>
    <border>
      <left style="thin">
        <color theme="4"/>
      </left>
      <right/>
      <top style="thin">
        <color theme="4"/>
      </top>
      <bottom style="thin">
        <color theme="4"/>
      </bottom>
    </border>
    <border>
      <left style="thin">
        <color theme="4"/>
      </left>
      <right style="thin">
        <color theme="4"/>
      </right>
      <top style="thin">
        <color theme="4"/>
      </top>
      <bottom/>
    </border>
    <border>
      <left style="thin">
        <color theme="4"/>
      </left>
      <right style="medium">
        <color theme="4"/>
      </right>
      <top style="thin">
        <color theme="4"/>
      </top>
      <bottom style="medium">
        <color theme="4"/>
      </bottom>
    </border>
    <border>
      <left style="medium">
        <color theme="4"/>
      </left>
      <right style="thin">
        <color theme="4"/>
      </right>
      <top style="medium">
        <color theme="4"/>
      </top>
      <bottom style="thin">
        <color theme="4"/>
      </bottom>
    </border>
    <border>
      <left style="medium">
        <color theme="4"/>
      </left>
      <right/>
      <top style="thin">
        <color theme="4"/>
      </top>
      <bottom style="medium">
        <color theme="4"/>
      </bottom>
    </border>
    <border>
      <left style="medium">
        <color theme="4"/>
      </left>
      <right style="thin">
        <color theme="4"/>
      </right>
      <top/>
      <bottom style="medium">
        <color theme="4"/>
      </bottom>
    </border>
    <border>
      <left style="thin">
        <color theme="4"/>
      </left>
      <right style="thin">
        <color theme="4"/>
      </right>
      <top/>
      <bottom style="medium">
        <color theme="4"/>
      </bottom>
    </border>
    <border>
      <left/>
      <right/>
      <top style="thin">
        <color theme="3" tint="0.39998000860214233"/>
      </top>
      <bottom/>
    </border>
    <border>
      <left/>
      <right/>
      <top/>
      <bottom style="thin">
        <color theme="3" tint="0.39998000860214233"/>
      </bottom>
    </border>
    <border>
      <left/>
      <right style="medium">
        <color theme="3" tint="0.39998000860214233"/>
      </right>
      <top/>
      <bottom/>
    </border>
    <border>
      <left/>
      <right style="medium">
        <color theme="3" tint="0.39998000860214233"/>
      </right>
      <top/>
      <bottom style="thin">
        <color theme="3" tint="0.39998000860214233"/>
      </bottom>
    </border>
    <border>
      <left/>
      <right/>
      <top/>
      <bottom style="medium">
        <color theme="3" tint="0.39998000860214233"/>
      </bottom>
    </border>
    <border>
      <left/>
      <right style="medium">
        <color theme="3" tint="0.39998000860214233"/>
      </right>
      <top/>
      <bottom style="medium">
        <color theme="3" tint="0.39998000860214233"/>
      </bottom>
    </border>
    <border>
      <left/>
      <right style="medium">
        <color theme="3" tint="0.39998000860214233"/>
      </right>
      <top style="thin">
        <color theme="3" tint="0.39998000860214233"/>
      </top>
      <bottom/>
    </border>
    <border>
      <left/>
      <right style="medium">
        <color theme="3" tint="0.39998000860214233"/>
      </right>
      <top style="medium">
        <color theme="3" tint="0.39998000860214233"/>
      </top>
      <bottom style="thin">
        <color theme="3" tint="0.39998000860214233"/>
      </bottom>
    </border>
    <border>
      <left/>
      <right style="medium">
        <color theme="3" tint="0.39998000860214233"/>
      </right>
      <top style="thin">
        <color theme="3" tint="0.39998000860214233"/>
      </top>
      <bottom style="medium">
        <color theme="3" tint="0.39998000860214233"/>
      </bottom>
    </border>
    <border>
      <left style="medium">
        <color theme="3" tint="0.39998000860214233"/>
      </left>
      <right style="medium">
        <color theme="3" tint="0.39998000860214233"/>
      </right>
      <top/>
      <bottom/>
    </border>
    <border>
      <left/>
      <right style="thin">
        <color theme="3" tint="0.39998000860214233"/>
      </right>
      <top/>
      <bottom/>
    </border>
    <border>
      <left style="medium">
        <color theme="3" tint="0.39998000860214233"/>
      </left>
      <right style="medium">
        <color theme="3" tint="0.39998000860214233"/>
      </right>
      <top style="thin">
        <color theme="3" tint="0.39998000860214233"/>
      </top>
      <bottom/>
    </border>
    <border>
      <left style="medium">
        <color theme="3" tint="0.39998000860214233"/>
      </left>
      <right style="medium">
        <color theme="3" tint="0.39998000860214233"/>
      </right>
      <top/>
      <bottom style="thin">
        <color theme="3" tint="0.39998000860214233"/>
      </bottom>
    </border>
    <border>
      <left style="medium">
        <color theme="3" tint="0.39998000860214233"/>
      </left>
      <right style="medium">
        <color theme="3" tint="0.39998000860214233"/>
      </right>
      <top/>
      <bottom style="medium">
        <color theme="3" tint="0.39998000860214233"/>
      </bottom>
    </border>
    <border>
      <left/>
      <right style="thin">
        <color theme="3" tint="0.39998000860214233"/>
      </right>
      <top/>
      <bottom style="medium">
        <color theme="3" tint="0.39998000860214233"/>
      </bottom>
    </border>
    <border>
      <left/>
      <right style="thin">
        <color theme="3" tint="0.39998000860214233"/>
      </right>
      <top style="thin">
        <color theme="3" tint="0.39998000860214233"/>
      </top>
      <bottom/>
    </border>
    <border>
      <left/>
      <right style="thin">
        <color theme="3" tint="0.39998000860214233"/>
      </right>
      <top/>
      <bottom style="thin">
        <color theme="3" tint="0.39998000860214233"/>
      </bottom>
    </border>
    <border>
      <left style="medium">
        <color theme="3" tint="0.39998000860214233"/>
      </left>
      <right style="medium">
        <color theme="3" tint="0.39998000860214233"/>
      </right>
      <top style="medium">
        <color theme="3" tint="0.39998000860214233"/>
      </top>
      <bottom/>
    </border>
    <border>
      <left/>
      <right/>
      <top style="medium">
        <color theme="3" tint="0.39998000860214233"/>
      </top>
      <bottom style="thin">
        <color theme="3" tint="0.39998000860214233"/>
      </bottom>
    </border>
    <border>
      <left style="medium">
        <color theme="3" tint="0.39998000860214233"/>
      </left>
      <right/>
      <top/>
      <bottom style="medium">
        <color theme="3" tint="0.39998000860214233"/>
      </bottom>
    </border>
    <border>
      <left style="medium">
        <color theme="3" tint="0.39998000860214233"/>
      </left>
      <right/>
      <top/>
      <bottom/>
    </border>
    <border>
      <left style="medium">
        <color theme="3" tint="0.39998000860214233"/>
      </left>
      <right/>
      <top style="thin">
        <color theme="3" tint="0.39998000860214233"/>
      </top>
      <bottom/>
    </border>
    <border>
      <left style="medium">
        <color theme="3" tint="0.39998000860214233"/>
      </left>
      <right/>
      <top/>
      <bottom style="thin">
        <color theme="3" tint="0.39998000860214233"/>
      </bottom>
    </border>
    <border>
      <left/>
      <right style="thin">
        <color theme="3" tint="0.39998000860214233"/>
      </right>
      <top style="thin">
        <color theme="4"/>
      </top>
      <bottom style="thin">
        <color theme="4"/>
      </bottom>
    </border>
    <border>
      <left/>
      <right style="thin">
        <color theme="3" tint="0.39998000860214233"/>
      </right>
      <top/>
      <bottom style="medium">
        <color theme="4"/>
      </bottom>
    </border>
    <border>
      <left style="thin">
        <color theme="3" tint="0.39998000860214233"/>
      </left>
      <right style="thin">
        <color theme="3" tint="0.39998000860214233"/>
      </right>
      <top style="thin">
        <color theme="4"/>
      </top>
      <bottom style="thin">
        <color theme="4"/>
      </bottom>
    </border>
    <border>
      <left style="thin">
        <color theme="3" tint="0.39998000860214233"/>
      </left>
      <right style="thin">
        <color theme="3" tint="0.39998000860214233"/>
      </right>
      <top/>
      <bottom/>
    </border>
    <border>
      <left style="thin">
        <color theme="3" tint="0.39998000860214233"/>
      </left>
      <right style="thin">
        <color theme="3" tint="0.39998000860214233"/>
      </right>
      <top style="medium">
        <color theme="4"/>
      </top>
      <bottom style="medium">
        <color theme="4"/>
      </bottom>
    </border>
    <border>
      <left style="medium">
        <color theme="4"/>
      </left>
      <right style="thin">
        <color theme="4"/>
      </right>
      <top/>
      <bottom style="thin"/>
    </border>
    <border>
      <left style="thin">
        <color theme="4"/>
      </left>
      <right style="thin">
        <color theme="4"/>
      </right>
      <top style="medium">
        <color theme="4"/>
      </top>
      <bottom style="medium">
        <color theme="4"/>
      </bottom>
    </border>
    <border>
      <left style="thin">
        <color theme="4"/>
      </left>
      <right style="medium">
        <color theme="4"/>
      </right>
      <top/>
      <bottom style="thin">
        <color theme="4"/>
      </bottom>
    </border>
    <border>
      <left/>
      <right style="thin">
        <color theme="4"/>
      </right>
      <top style="thin">
        <color theme="3" tint="0.39998000860214233"/>
      </top>
      <bottom/>
    </border>
    <border>
      <left/>
      <right style="medium">
        <color theme="4"/>
      </right>
      <top style="thin">
        <color theme="3" tint="0.39998000860214233"/>
      </top>
      <bottom/>
    </border>
    <border>
      <left/>
      <right style="thin">
        <color theme="4"/>
      </right>
      <top/>
      <bottom style="thin">
        <color theme="3" tint="0.39998000860214233"/>
      </bottom>
    </border>
    <border>
      <left/>
      <right style="medium">
        <color theme="4"/>
      </right>
      <top/>
      <bottom style="thin">
        <color theme="3" tint="0.39998000860214233"/>
      </bottom>
    </border>
    <border>
      <left/>
      <right style="medium">
        <color theme="3" tint="0.39998000860214233"/>
      </right>
      <top/>
      <bottom style="medium">
        <color theme="4"/>
      </bottom>
    </border>
    <border>
      <left/>
      <right style="medium">
        <color theme="3" tint="0.39998000860214233"/>
      </right>
      <top/>
      <bottom style="thin">
        <color theme="4"/>
      </bottom>
    </border>
    <border>
      <left/>
      <right style="medium">
        <color theme="3" tint="0.39998000860214233"/>
      </right>
      <top style="medium">
        <color theme="4"/>
      </top>
      <bottom/>
    </border>
    <border>
      <left/>
      <right style="medium">
        <color theme="3" tint="0.39998000860214233"/>
      </right>
      <top style="thin">
        <color theme="4"/>
      </top>
      <bottom style="thin">
        <color theme="4"/>
      </bottom>
    </border>
    <border>
      <left style="thin">
        <color theme="4"/>
      </left>
      <right style="medium">
        <color theme="4"/>
      </right>
      <top style="thin">
        <color theme="4"/>
      </top>
      <bottom/>
    </border>
    <border>
      <left style="thin">
        <color theme="4"/>
      </left>
      <right style="medium">
        <color theme="4"/>
      </right>
      <top/>
      <bottom style="thin">
        <color theme="3" tint="0.39998000860214233"/>
      </bottom>
    </border>
    <border>
      <left/>
      <right style="thin">
        <color theme="3" tint="0.39998000860214233"/>
      </right>
      <top style="medium">
        <color theme="4"/>
      </top>
      <bottom style="thin">
        <color theme="3" tint="0.39998000860214233"/>
      </bottom>
    </border>
    <border>
      <left/>
      <right style="thin">
        <color theme="3" tint="0.39998000860214233"/>
      </right>
      <top/>
      <bottom style="thin">
        <color theme="4"/>
      </bottom>
    </border>
    <border>
      <left style="medium">
        <color theme="4"/>
      </left>
      <right/>
      <top style="medium">
        <color theme="4"/>
      </top>
      <bottom style="thin">
        <color theme="3" tint="0.39998000860214233"/>
      </bottom>
    </border>
    <border>
      <left/>
      <right style="medium">
        <color theme="4"/>
      </right>
      <top style="thin">
        <color theme="3" tint="0.39998000860214233"/>
      </top>
      <bottom style="medium">
        <color theme="4"/>
      </bottom>
    </border>
    <border>
      <left style="medium">
        <color theme="4"/>
      </left>
      <right style="medium">
        <color theme="4"/>
      </right>
      <top style="thin">
        <color theme="4"/>
      </top>
      <bottom style="medium">
        <color theme="3" tint="0.39998000860214233"/>
      </bottom>
    </border>
    <border>
      <left/>
      <right style="thin">
        <color theme="4"/>
      </right>
      <top style="thin">
        <color theme="4"/>
      </top>
      <bottom style="medium">
        <color theme="3" tint="0.39998000860214233"/>
      </bottom>
    </border>
    <border>
      <left/>
      <right style="medium">
        <color theme="4"/>
      </right>
      <top style="thin">
        <color theme="4"/>
      </top>
      <bottom style="medium">
        <color theme="3" tint="0.39998000860214233"/>
      </bottom>
    </border>
    <border>
      <left style="medium">
        <color theme="4"/>
      </left>
      <right/>
      <top/>
      <bottom style="thin"/>
    </border>
    <border>
      <left/>
      <right/>
      <top/>
      <bottom style="thin"/>
    </border>
    <border>
      <left/>
      <right style="medium">
        <color theme="4"/>
      </right>
      <top/>
      <bottom style="thin"/>
    </border>
    <border>
      <left/>
      <right style="thin">
        <color theme="4"/>
      </right>
      <top style="medium"/>
      <bottom style="thin">
        <color theme="4"/>
      </bottom>
    </border>
    <border>
      <left/>
      <right style="medium"/>
      <top style="medium"/>
      <bottom style="thin">
        <color theme="4"/>
      </bottom>
    </border>
    <border>
      <left/>
      <right style="thin">
        <color theme="4"/>
      </right>
      <top/>
      <bottom style="medium"/>
    </border>
    <border>
      <left/>
      <right style="medium"/>
      <top/>
      <bottom style="medium"/>
    </border>
    <border>
      <left/>
      <right style="medium"/>
      <top/>
      <bottom style="medium">
        <color theme="4"/>
      </bottom>
    </border>
    <border>
      <left/>
      <right/>
      <top style="thin"/>
      <bottom/>
    </border>
    <border>
      <left style="thin">
        <color theme="4"/>
      </left>
      <right style="medium">
        <color theme="4"/>
      </right>
      <top/>
      <bottom style="medium">
        <color theme="4"/>
      </bottom>
    </border>
    <border>
      <left style="medium">
        <color theme="4"/>
      </left>
      <right/>
      <top style="thin">
        <color theme="4"/>
      </top>
      <bottom style="medium">
        <color theme="3" tint="0.39998000860214233"/>
      </bottom>
    </border>
    <border>
      <left/>
      <right/>
      <top style="thin">
        <color theme="4"/>
      </top>
      <bottom style="medium">
        <color theme="3" tint="0.39998000860214233"/>
      </bottom>
    </border>
    <border>
      <left style="medium">
        <color theme="4"/>
      </left>
      <right/>
      <top style="medium">
        <color theme="3" tint="0.39998000860214233"/>
      </top>
      <bottom style="medium">
        <color theme="4"/>
      </bottom>
    </border>
    <border>
      <left/>
      <right/>
      <top style="medium">
        <color theme="3" tint="0.39998000860214233"/>
      </top>
      <bottom style="medium">
        <color theme="4"/>
      </bottom>
    </border>
    <border>
      <left/>
      <right style="thin">
        <color theme="4"/>
      </right>
      <top style="medium">
        <color theme="3" tint="0.39998000860214233"/>
      </top>
      <bottom style="medium">
        <color theme="4"/>
      </bottom>
    </border>
    <border>
      <left style="medium"/>
      <right/>
      <top style="medium">
        <color theme="4"/>
      </top>
      <bottom style="medium">
        <color theme="4"/>
      </bottom>
    </border>
    <border>
      <left/>
      <right style="thin">
        <color theme="4"/>
      </right>
      <top style="medium">
        <color theme="4"/>
      </top>
      <bottom style="medium">
        <color theme="4"/>
      </bottom>
    </border>
    <border>
      <left style="medium"/>
      <right/>
      <top style="medium">
        <color theme="4"/>
      </top>
      <bottom style="medium"/>
    </border>
    <border>
      <left/>
      <right style="thin">
        <color theme="4"/>
      </right>
      <top style="medium">
        <color theme="4"/>
      </top>
      <bottom style="medium"/>
    </border>
    <border>
      <left style="medium"/>
      <right/>
      <top style="medium"/>
      <bottom style="thin">
        <color theme="4"/>
      </bottom>
    </border>
    <border>
      <left style="medium"/>
      <right/>
      <top style="thin">
        <color theme="4"/>
      </top>
      <bottom style="medium">
        <color theme="4"/>
      </bottom>
    </border>
    <border>
      <left/>
      <right/>
      <top style="medium">
        <color theme="3" tint="0.39998000860214233"/>
      </top>
      <bottom/>
    </border>
    <border>
      <left/>
      <right style="medium">
        <color theme="3" tint="0.39998000860214233"/>
      </right>
      <top style="medium">
        <color theme="3" tint="0.39998000860214233"/>
      </top>
      <bottom/>
    </border>
    <border>
      <left style="medium">
        <color theme="3" tint="0.39998000860214233"/>
      </left>
      <right/>
      <top style="medium">
        <color theme="3" tint="0.39998000860214233"/>
      </top>
      <bottom style="thin">
        <color theme="3" tint="0.39998000860214233"/>
      </bottom>
    </border>
    <border>
      <left/>
      <right style="thin">
        <color theme="3" tint="0.39998000860214233"/>
      </right>
      <top style="medium">
        <color theme="3" tint="0.39998000860214233"/>
      </top>
      <bottom style="thin">
        <color theme="3" tint="0.39998000860214233"/>
      </bottom>
    </border>
    <border>
      <left style="medium">
        <color theme="3" tint="0.39998000860214233"/>
      </left>
      <right/>
      <top style="thin">
        <color theme="3" tint="0.39998000860214233"/>
      </top>
      <bottom style="medium">
        <color theme="3" tint="0.39998000860214233"/>
      </bottom>
    </border>
    <border>
      <left/>
      <right/>
      <top style="thin">
        <color theme="3" tint="0.39998000860214233"/>
      </top>
      <bottom style="medium">
        <color theme="3" tint="0.39998000860214233"/>
      </bottom>
    </border>
    <border>
      <left/>
      <right style="thin">
        <color theme="3" tint="0.39998000860214233"/>
      </right>
      <top style="thin">
        <color theme="3" tint="0.39998000860214233"/>
      </top>
      <bottom style="medium">
        <color theme="3" tint="0.39998000860214233"/>
      </bottom>
    </border>
    <border>
      <left style="medium">
        <color theme="3" tint="0.39998000860214233"/>
      </left>
      <right/>
      <top style="medium">
        <color theme="3" tint="0.39998000860214233"/>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3" fontId="2" fillId="0" borderId="1" applyFont="0" applyFill="0" applyBorder="0" applyAlignment="0" applyProtection="0"/>
    <xf numFmtId="0" fontId="79" fillId="0" borderId="2" applyNumberFormat="0" applyFill="0" applyAlignment="0" applyProtection="0"/>
    <xf numFmtId="165" fontId="0" fillId="0" borderId="0" applyFont="0" applyFill="0" applyBorder="0" applyAlignment="0" applyProtection="0"/>
    <xf numFmtId="43" fontId="77"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0" fontId="80" fillId="20" borderId="0" applyNumberFormat="0" applyBorder="0" applyAlignment="0" applyProtection="0"/>
    <xf numFmtId="0" fontId="81" fillId="2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20" fillId="0" borderId="0">
      <alignment/>
      <protection/>
    </xf>
    <xf numFmtId="0" fontId="0" fillId="23"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7" fillId="0" borderId="8" applyNumberFormat="0" applyFill="0" applyAlignment="0" applyProtection="0"/>
    <xf numFmtId="0" fontId="88" fillId="24" borderId="0" applyNumberFormat="0" applyBorder="0" applyAlignment="0" applyProtection="0"/>
    <xf numFmtId="0" fontId="89" fillId="0" borderId="0" applyNumberFormat="0" applyFill="0" applyBorder="0" applyAlignment="0" applyProtection="0"/>
    <xf numFmtId="0" fontId="90" fillId="25" borderId="9" applyNumberFormat="0" applyAlignment="0" applyProtection="0"/>
    <xf numFmtId="0" fontId="91" fillId="26" borderId="9" applyNumberFormat="0" applyAlignment="0" applyProtection="0"/>
    <xf numFmtId="0" fontId="92" fillId="26" borderId="10" applyNumberFormat="0" applyAlignment="0" applyProtection="0"/>
    <xf numFmtId="0" fontId="93" fillId="0" borderId="0" applyNumberFormat="0" applyFill="0" applyBorder="0" applyAlignment="0" applyProtection="0"/>
    <xf numFmtId="3" fontId="2" fillId="0" borderId="0" applyFill="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cellStyleXfs>
  <cellXfs count="1515">
    <xf numFmtId="0" fontId="0" fillId="0" borderId="0" xfId="0" applyAlignment="1">
      <alignment/>
    </xf>
    <xf numFmtId="0" fontId="25" fillId="33" borderId="11" xfId="0" applyFont="1" applyFill="1" applyBorder="1" applyAlignment="1">
      <alignment/>
    </xf>
    <xf numFmtId="0" fontId="25" fillId="33" borderId="12" xfId="0" applyFont="1" applyFill="1" applyBorder="1" applyAlignment="1">
      <alignment/>
    </xf>
    <xf numFmtId="0" fontId="25" fillId="33" borderId="13" xfId="0" applyFont="1" applyFill="1" applyBorder="1" applyAlignment="1">
      <alignment/>
    </xf>
    <xf numFmtId="0" fontId="25" fillId="33" borderId="14" xfId="0" applyFont="1" applyFill="1" applyBorder="1" applyAlignment="1">
      <alignment/>
    </xf>
    <xf numFmtId="0" fontId="25" fillId="33" borderId="15" xfId="0" applyFont="1" applyFill="1" applyBorder="1" applyAlignment="1">
      <alignment/>
    </xf>
    <xf numFmtId="0" fontId="25" fillId="33" borderId="0" xfId="0" applyFont="1" applyFill="1" applyBorder="1" applyAlignment="1">
      <alignment/>
    </xf>
    <xf numFmtId="0" fontId="25" fillId="33" borderId="16" xfId="0" applyFont="1" applyFill="1" applyBorder="1" applyAlignment="1">
      <alignment/>
    </xf>
    <xf numFmtId="0" fontId="25" fillId="33" borderId="17" xfId="0" applyFont="1" applyFill="1" applyBorder="1" applyAlignment="1">
      <alignment/>
    </xf>
    <xf numFmtId="0" fontId="25" fillId="33" borderId="18" xfId="0" applyFont="1" applyFill="1" applyBorder="1" applyAlignment="1">
      <alignment/>
    </xf>
    <xf numFmtId="0" fontId="25" fillId="34" borderId="0" xfId="0" applyFont="1" applyFill="1" applyBorder="1" applyAlignment="1">
      <alignment/>
    </xf>
    <xf numFmtId="0" fontId="26" fillId="34" borderId="0" xfId="0" applyFont="1" applyFill="1" applyBorder="1" applyAlignment="1">
      <alignment horizontal="right" vertical="center"/>
    </xf>
    <xf numFmtId="0" fontId="25" fillId="34" borderId="0" xfId="0" applyFont="1" applyFill="1" applyBorder="1" applyAlignment="1">
      <alignment horizontal="right"/>
    </xf>
    <xf numFmtId="0" fontId="25" fillId="34" borderId="0" xfId="0" applyFont="1" applyFill="1" applyAlignment="1">
      <alignment/>
    </xf>
    <xf numFmtId="0" fontId="27" fillId="34" borderId="0" xfId="0" applyFont="1" applyFill="1" applyBorder="1" applyAlignment="1">
      <alignment horizontal="center"/>
    </xf>
    <xf numFmtId="0" fontId="28" fillId="34" borderId="0" xfId="0" applyFont="1" applyFill="1" applyBorder="1" applyAlignment="1">
      <alignment/>
    </xf>
    <xf numFmtId="0" fontId="29" fillId="34" borderId="0"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25" fillId="34" borderId="0" xfId="0" applyFont="1" applyFill="1" applyBorder="1" applyAlignment="1">
      <alignment horizontal="center"/>
    </xf>
    <xf numFmtId="0" fontId="31" fillId="34" borderId="0" xfId="0" applyFont="1" applyFill="1" applyBorder="1" applyAlignment="1">
      <alignment horizontal="center"/>
    </xf>
    <xf numFmtId="0" fontId="29" fillId="0" borderId="19"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25" fillId="13" borderId="19" xfId="0" applyFont="1" applyFill="1" applyBorder="1" applyAlignment="1">
      <alignment horizontal="center"/>
    </xf>
    <xf numFmtId="0" fontId="33" fillId="13" borderId="19" xfId="0" applyFont="1" applyFill="1" applyBorder="1" applyAlignment="1">
      <alignment horizontal="center"/>
    </xf>
    <xf numFmtId="0" fontId="34" fillId="34" borderId="4" xfId="0" applyFont="1" applyFill="1" applyBorder="1" applyAlignment="1">
      <alignment/>
    </xf>
    <xf numFmtId="0" fontId="25" fillId="34" borderId="4" xfId="0" applyFont="1" applyFill="1" applyBorder="1" applyAlignment="1">
      <alignment/>
    </xf>
    <xf numFmtId="0" fontId="94" fillId="34" borderId="4" xfId="0" applyFont="1" applyFill="1" applyBorder="1" applyAlignment="1">
      <alignment horizontal="right"/>
    </xf>
    <xf numFmtId="0" fontId="29" fillId="34" borderId="19" xfId="0" applyFont="1" applyFill="1" applyBorder="1" applyAlignment="1">
      <alignment horizontal="center" vertical="center" wrapText="1"/>
    </xf>
    <xf numFmtId="10" fontId="29" fillId="34" borderId="19" xfId="56" applyNumberFormat="1" applyFont="1" applyFill="1" applyBorder="1" applyAlignment="1">
      <alignment horizontal="center" vertical="center" wrapText="1"/>
    </xf>
    <xf numFmtId="0" fontId="25" fillId="34" borderId="20" xfId="0" applyFont="1" applyFill="1" applyBorder="1" applyAlignment="1">
      <alignment/>
    </xf>
    <xf numFmtId="0" fontId="25" fillId="34" borderId="21" xfId="0" applyFont="1" applyFill="1" applyBorder="1" applyAlignment="1">
      <alignment/>
    </xf>
    <xf numFmtId="0" fontId="36" fillId="34" borderId="21" xfId="0" applyFont="1" applyFill="1" applyBorder="1" applyAlignment="1">
      <alignment horizontal="center"/>
    </xf>
    <xf numFmtId="0" fontId="25" fillId="34" borderId="22" xfId="0" applyFont="1" applyFill="1" applyBorder="1" applyAlignment="1">
      <alignment/>
    </xf>
    <xf numFmtId="0" fontId="25" fillId="34" borderId="23" xfId="0" applyFont="1" applyFill="1" applyBorder="1" applyAlignment="1">
      <alignment/>
    </xf>
    <xf numFmtId="0" fontId="25" fillId="34" borderId="24" xfId="0" applyFont="1" applyFill="1" applyBorder="1" applyAlignment="1">
      <alignment/>
    </xf>
    <xf numFmtId="0" fontId="25" fillId="34" borderId="25" xfId="0" applyFont="1" applyFill="1" applyBorder="1" applyAlignment="1">
      <alignment/>
    </xf>
    <xf numFmtId="0" fontId="25" fillId="34" borderId="26" xfId="0" applyFont="1" applyFill="1" applyBorder="1" applyAlignment="1">
      <alignment/>
    </xf>
    <xf numFmtId="0" fontId="25" fillId="34" borderId="27" xfId="0" applyFont="1" applyFill="1" applyBorder="1" applyAlignment="1">
      <alignment/>
    </xf>
    <xf numFmtId="0" fontId="0" fillId="35" borderId="0" xfId="0" applyFill="1" applyAlignment="1">
      <alignment/>
    </xf>
    <xf numFmtId="0" fontId="5" fillId="35" borderId="0" xfId="0" applyFont="1" applyFill="1" applyAlignment="1">
      <alignment/>
    </xf>
    <xf numFmtId="0" fontId="6" fillId="35" borderId="0" xfId="0" applyFont="1" applyFill="1" applyAlignment="1">
      <alignment/>
    </xf>
    <xf numFmtId="0" fontId="25" fillId="35" borderId="0" xfId="0" applyFont="1" applyFill="1" applyAlignment="1">
      <alignment/>
    </xf>
    <xf numFmtId="0" fontId="18" fillId="35" borderId="0" xfId="0" applyFont="1" applyFill="1" applyAlignment="1">
      <alignment/>
    </xf>
    <xf numFmtId="0" fontId="19" fillId="35" borderId="0" xfId="0" applyFont="1" applyFill="1" applyAlignment="1">
      <alignment/>
    </xf>
    <xf numFmtId="0" fontId="3" fillId="35" borderId="0" xfId="0" applyFont="1" applyFill="1" applyAlignment="1">
      <alignment/>
    </xf>
    <xf numFmtId="0" fontId="3" fillId="35" borderId="0" xfId="0" applyFont="1" applyFill="1" applyBorder="1" applyAlignment="1" applyProtection="1">
      <alignment/>
      <protection hidden="1"/>
    </xf>
    <xf numFmtId="0" fontId="12" fillId="35" borderId="0" xfId="0" applyFont="1" applyFill="1" applyBorder="1" applyAlignment="1" applyProtection="1">
      <alignment horizontal="center"/>
      <protection hidden="1"/>
    </xf>
    <xf numFmtId="0" fontId="11" fillId="35" borderId="0" xfId="0" applyFont="1" applyFill="1" applyBorder="1" applyAlignment="1" applyProtection="1">
      <alignment/>
      <protection hidden="1"/>
    </xf>
    <xf numFmtId="0" fontId="4" fillId="35" borderId="0" xfId="0" applyFont="1" applyFill="1" applyBorder="1" applyAlignment="1" applyProtection="1">
      <alignment/>
      <protection hidden="1"/>
    </xf>
    <xf numFmtId="0" fontId="3" fillId="35" borderId="0" xfId="0" applyFont="1" applyFill="1" applyBorder="1" applyAlignment="1">
      <alignment/>
    </xf>
    <xf numFmtId="3" fontId="3" fillId="35" borderId="0" xfId="0" applyNumberFormat="1" applyFont="1" applyFill="1" applyBorder="1" applyAlignment="1">
      <alignment/>
    </xf>
    <xf numFmtId="172" fontId="4" fillId="35" borderId="0" xfId="0" applyNumberFormat="1" applyFont="1" applyFill="1" applyBorder="1" applyAlignment="1" applyProtection="1">
      <alignment/>
      <protection hidden="1"/>
    </xf>
    <xf numFmtId="172" fontId="3" fillId="35" borderId="0" xfId="0" applyNumberFormat="1" applyFont="1" applyFill="1" applyBorder="1" applyAlignment="1" applyProtection="1">
      <alignment/>
      <protection hidden="1"/>
    </xf>
    <xf numFmtId="166" fontId="3" fillId="35" borderId="0" xfId="0" applyNumberFormat="1" applyFont="1" applyFill="1" applyAlignment="1">
      <alignment/>
    </xf>
    <xf numFmtId="3" fontId="11" fillId="35" borderId="0" xfId="0" applyNumberFormat="1" applyFont="1" applyFill="1" applyBorder="1" applyAlignment="1" applyProtection="1">
      <alignment/>
      <protection hidden="1"/>
    </xf>
    <xf numFmtId="0" fontId="3" fillId="35" borderId="0" xfId="0" applyFont="1" applyFill="1" applyAlignment="1">
      <alignment horizontal="right"/>
    </xf>
    <xf numFmtId="0" fontId="3" fillId="35" borderId="0" xfId="0" applyFont="1" applyFill="1" applyBorder="1" applyAlignment="1" applyProtection="1">
      <alignment/>
      <protection hidden="1"/>
    </xf>
    <xf numFmtId="3" fontId="3" fillId="35" borderId="0" xfId="0" applyNumberFormat="1" applyFont="1" applyFill="1" applyBorder="1" applyAlignment="1" applyProtection="1">
      <alignment/>
      <protection hidden="1"/>
    </xf>
    <xf numFmtId="0" fontId="3" fillId="35" borderId="0" xfId="0" applyFont="1" applyFill="1" applyBorder="1" applyAlignment="1">
      <alignment/>
    </xf>
    <xf numFmtId="0" fontId="13" fillId="35" borderId="0" xfId="0" applyFont="1" applyFill="1" applyBorder="1" applyAlignment="1" applyProtection="1">
      <alignment/>
      <protection hidden="1"/>
    </xf>
    <xf numFmtId="3" fontId="3" fillId="35" borderId="0" xfId="0" applyNumberFormat="1" applyFont="1" applyFill="1" applyBorder="1" applyAlignment="1" applyProtection="1">
      <alignment/>
      <protection locked="0"/>
    </xf>
    <xf numFmtId="16" fontId="3" fillId="35" borderId="0" xfId="0" applyNumberFormat="1" applyFont="1" applyFill="1" applyBorder="1" applyAlignment="1" applyProtection="1" quotePrefix="1">
      <alignment/>
      <protection hidden="1"/>
    </xf>
    <xf numFmtId="3" fontId="3" fillId="35" borderId="0" xfId="0" applyNumberFormat="1" applyFont="1" applyFill="1" applyBorder="1" applyAlignment="1">
      <alignment/>
    </xf>
    <xf numFmtId="16" fontId="3" fillId="35" borderId="0" xfId="0" applyNumberFormat="1" applyFont="1" applyFill="1" applyBorder="1" applyAlignment="1" applyProtection="1">
      <alignment/>
      <protection hidden="1"/>
    </xf>
    <xf numFmtId="3" fontId="4" fillId="35" borderId="0" xfId="0" applyNumberFormat="1" applyFont="1" applyFill="1" applyBorder="1" applyAlignment="1" applyProtection="1">
      <alignment/>
      <protection hidden="1"/>
    </xf>
    <xf numFmtId="16" fontId="3" fillId="35" borderId="0" xfId="0" applyNumberFormat="1" applyFont="1" applyFill="1" applyBorder="1" applyAlignment="1" applyProtection="1" quotePrefix="1">
      <alignment/>
      <protection hidden="1"/>
    </xf>
    <xf numFmtId="0" fontId="4" fillId="35" borderId="0" xfId="0" applyFont="1" applyFill="1" applyBorder="1" applyAlignment="1" applyProtection="1">
      <alignment horizontal="left"/>
      <protection hidden="1"/>
    </xf>
    <xf numFmtId="3" fontId="3" fillId="35" borderId="0" xfId="0" applyNumberFormat="1" applyFont="1" applyFill="1" applyBorder="1" applyAlignment="1" applyProtection="1">
      <alignment/>
      <protection hidden="1"/>
    </xf>
    <xf numFmtId="0" fontId="12" fillId="35" borderId="0" xfId="0" applyFont="1" applyFill="1" applyBorder="1" applyAlignment="1" applyProtection="1">
      <alignment/>
      <protection hidden="1"/>
    </xf>
    <xf numFmtId="0" fontId="21" fillId="35" borderId="0" xfId="0" applyFont="1" applyFill="1" applyBorder="1" applyAlignment="1">
      <alignment/>
    </xf>
    <xf numFmtId="0" fontId="3" fillId="35" borderId="0" xfId="52" applyFont="1" applyFill="1" applyBorder="1" applyProtection="1">
      <alignment/>
      <protection hidden="1"/>
    </xf>
    <xf numFmtId="3" fontId="3" fillId="35" borderId="0" xfId="52" applyNumberFormat="1" applyFont="1" applyFill="1" applyBorder="1" applyProtection="1">
      <alignment/>
      <protection hidden="1"/>
    </xf>
    <xf numFmtId="0" fontId="3" fillId="35" borderId="0" xfId="52" applyFont="1" applyFill="1" applyBorder="1">
      <alignment/>
      <protection/>
    </xf>
    <xf numFmtId="4" fontId="3" fillId="35"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3" fontId="4" fillId="35" borderId="0" xfId="0" applyNumberFormat="1" applyFont="1" applyFill="1" applyBorder="1" applyAlignment="1" applyProtection="1">
      <alignment/>
      <protection locked="0"/>
    </xf>
    <xf numFmtId="16" fontId="4" fillId="35" borderId="0" xfId="0" applyNumberFormat="1" applyFont="1" applyFill="1" applyBorder="1" applyAlignment="1" applyProtection="1" quotePrefix="1">
      <alignment/>
      <protection hidden="1"/>
    </xf>
    <xf numFmtId="4" fontId="3" fillId="35" borderId="0" xfId="0" applyNumberFormat="1" applyFont="1" applyFill="1" applyBorder="1" applyAlignment="1" applyProtection="1">
      <alignment/>
      <protection hidden="1"/>
    </xf>
    <xf numFmtId="0" fontId="13" fillId="35" borderId="0" xfId="0" applyFont="1" applyFill="1" applyBorder="1" applyAlignment="1">
      <alignment/>
    </xf>
    <xf numFmtId="0" fontId="13" fillId="35" borderId="0" xfId="0" applyFont="1" applyFill="1" applyBorder="1" applyAlignment="1" applyProtection="1">
      <alignment horizontal="center"/>
      <protection hidden="1"/>
    </xf>
    <xf numFmtId="0" fontId="4" fillId="35" borderId="0" xfId="0" applyFont="1" applyFill="1" applyBorder="1" applyAlignment="1">
      <alignment/>
    </xf>
    <xf numFmtId="0" fontId="4" fillId="35" borderId="0" xfId="0" applyFont="1" applyFill="1" applyBorder="1" applyAlignment="1">
      <alignment horizontal="center"/>
    </xf>
    <xf numFmtId="3" fontId="4" fillId="35" borderId="0" xfId="0" applyNumberFormat="1" applyFont="1" applyFill="1" applyBorder="1" applyAlignment="1">
      <alignment horizontal="center"/>
    </xf>
    <xf numFmtId="0" fontId="15" fillId="35" borderId="0" xfId="0" applyFont="1" applyFill="1" applyBorder="1" applyAlignment="1">
      <alignment/>
    </xf>
    <xf numFmtId="0" fontId="11" fillId="35" borderId="0" xfId="0" applyFont="1" applyFill="1" applyBorder="1" applyAlignment="1">
      <alignment/>
    </xf>
    <xf numFmtId="16" fontId="3" fillId="35" borderId="0" xfId="0" applyNumberFormat="1" applyFont="1" applyFill="1" applyBorder="1" applyAlignment="1" applyProtection="1" quotePrefix="1">
      <alignment/>
      <protection hidden="1"/>
    </xf>
    <xf numFmtId="0" fontId="17" fillId="35" borderId="0" xfId="0" applyFont="1" applyFill="1" applyBorder="1" applyAlignment="1">
      <alignment horizontal="left"/>
    </xf>
    <xf numFmtId="3" fontId="3" fillId="35" borderId="0" xfId="0" applyNumberFormat="1" applyFont="1" applyFill="1" applyBorder="1" applyAlignment="1" applyProtection="1">
      <alignment/>
      <protection locked="0"/>
    </xf>
    <xf numFmtId="0" fontId="3" fillId="35" borderId="0" xfId="0" applyFont="1" applyFill="1" applyBorder="1" applyAlignment="1">
      <alignment vertical="center"/>
    </xf>
    <xf numFmtId="16" fontId="17" fillId="35" borderId="0" xfId="0" applyNumberFormat="1" applyFont="1" applyFill="1" applyBorder="1" applyAlignment="1" applyProtection="1">
      <alignment horizontal="left" vertical="center" wrapText="1"/>
      <protection hidden="1"/>
    </xf>
    <xf numFmtId="16" fontId="12" fillId="35" borderId="0" xfId="0" applyNumberFormat="1" applyFont="1" applyFill="1" applyBorder="1" applyAlignment="1" applyProtection="1">
      <alignment horizontal="center" vertical="center"/>
      <protection hidden="1"/>
    </xf>
    <xf numFmtId="0" fontId="3" fillId="35" borderId="0" xfId="0" applyFont="1" applyFill="1" applyBorder="1" applyAlignment="1" applyProtection="1">
      <alignment vertical="center"/>
      <protection hidden="1"/>
    </xf>
    <xf numFmtId="16" fontId="17" fillId="35" borderId="0" xfId="0" applyNumberFormat="1" applyFont="1" applyFill="1" applyBorder="1" applyAlignment="1" applyProtection="1">
      <alignment horizontal="left"/>
      <protection hidden="1"/>
    </xf>
    <xf numFmtId="3" fontId="12" fillId="35" borderId="0" xfId="0" applyNumberFormat="1" applyFont="1" applyFill="1" applyBorder="1" applyAlignment="1" applyProtection="1">
      <alignment/>
      <protection hidden="1"/>
    </xf>
    <xf numFmtId="3" fontId="3" fillId="35" borderId="0" xfId="0" applyNumberFormat="1" applyFont="1" applyFill="1" applyBorder="1" applyAlignment="1" applyProtection="1">
      <alignment/>
      <protection hidden="1"/>
    </xf>
    <xf numFmtId="0" fontId="3" fillId="35" borderId="0" xfId="49" applyFont="1" applyFill="1" applyBorder="1">
      <alignment/>
      <protection/>
    </xf>
    <xf numFmtId="0" fontId="3" fillId="35" borderId="0" xfId="49" applyFont="1" applyFill="1" applyBorder="1" applyProtection="1">
      <alignment/>
      <protection hidden="1"/>
    </xf>
    <xf numFmtId="0" fontId="8" fillId="35" borderId="0" xfId="49" applyFont="1" applyFill="1" applyBorder="1">
      <alignment/>
      <protection/>
    </xf>
    <xf numFmtId="0" fontId="13" fillId="35" borderId="0" xfId="0" applyFont="1" applyFill="1" applyAlignment="1">
      <alignment/>
    </xf>
    <xf numFmtId="0" fontId="11" fillId="35" borderId="0" xfId="49" applyFont="1" applyFill="1" applyBorder="1">
      <alignment/>
      <protection/>
    </xf>
    <xf numFmtId="0" fontId="13" fillId="35" borderId="0" xfId="0" applyFont="1" applyFill="1" applyBorder="1" applyAlignment="1">
      <alignment horizontal="center" wrapText="1"/>
    </xf>
    <xf numFmtId="0" fontId="15" fillId="35" borderId="0" xfId="0" applyFont="1" applyFill="1" applyBorder="1" applyAlignment="1" applyProtection="1">
      <alignment/>
      <protection hidden="1"/>
    </xf>
    <xf numFmtId="16" fontId="3" fillId="35" borderId="0" xfId="0" applyNumberFormat="1" applyFont="1" applyFill="1" applyBorder="1" applyAlignment="1" applyProtection="1" quotePrefix="1">
      <alignment/>
      <protection hidden="1"/>
    </xf>
    <xf numFmtId="9" fontId="3" fillId="35" borderId="0" xfId="56" applyFont="1" applyFill="1" applyBorder="1" applyAlignment="1" applyProtection="1">
      <alignment/>
      <protection hidden="1"/>
    </xf>
    <xf numFmtId="168" fontId="3" fillId="35" borderId="0" xfId="49" applyNumberFormat="1" applyFont="1" applyFill="1" applyBorder="1" applyProtection="1">
      <alignment/>
      <protection hidden="1"/>
    </xf>
    <xf numFmtId="3" fontId="4" fillId="35" borderId="0" xfId="0" applyNumberFormat="1" applyFont="1" applyFill="1" applyBorder="1" applyAlignment="1" applyProtection="1">
      <alignment horizontal="right"/>
      <protection hidden="1"/>
    </xf>
    <xf numFmtId="0" fontId="3" fillId="35" borderId="28" xfId="52" applyFont="1" applyFill="1" applyBorder="1" applyProtection="1">
      <alignment/>
      <protection hidden="1"/>
    </xf>
    <xf numFmtId="0" fontId="3" fillId="35" borderId="28" xfId="52" applyFont="1" applyFill="1" applyBorder="1" applyAlignment="1" applyProtection="1">
      <alignment horizontal="left"/>
      <protection hidden="1"/>
    </xf>
    <xf numFmtId="3" fontId="4" fillId="35" borderId="0" xfId="52" applyNumberFormat="1" applyFont="1" applyFill="1" applyBorder="1" applyAlignment="1" applyProtection="1">
      <alignment horizontal="right"/>
      <protection hidden="1"/>
    </xf>
    <xf numFmtId="0" fontId="4" fillId="35" borderId="0" xfId="52" applyFont="1" applyFill="1" applyBorder="1" applyAlignment="1">
      <alignment horizontal="right"/>
      <protection/>
    </xf>
    <xf numFmtId="0" fontId="3" fillId="35" borderId="0" xfId="52" applyFont="1" applyFill="1">
      <alignment/>
      <protection/>
    </xf>
    <xf numFmtId="0" fontId="8" fillId="35" borderId="0" xfId="50" applyFont="1" applyFill="1" applyBorder="1">
      <alignment/>
      <protection/>
    </xf>
    <xf numFmtId="0" fontId="3" fillId="35" borderId="0" xfId="50" applyFont="1" applyFill="1" applyBorder="1" applyProtection="1">
      <alignment/>
      <protection hidden="1"/>
    </xf>
    <xf numFmtId="0" fontId="3" fillId="35" borderId="0" xfId="50" applyFont="1" applyFill="1" applyBorder="1">
      <alignment/>
      <protection/>
    </xf>
    <xf numFmtId="3" fontId="4" fillId="35" borderId="0" xfId="50" applyNumberFormat="1" applyFont="1" applyFill="1" applyBorder="1" applyProtection="1">
      <alignment/>
      <protection hidden="1"/>
    </xf>
    <xf numFmtId="3" fontId="3" fillId="35" borderId="0" xfId="50" applyNumberFormat="1" applyFont="1" applyFill="1" applyBorder="1" applyProtection="1">
      <alignment/>
      <protection hidden="1"/>
    </xf>
    <xf numFmtId="0" fontId="4" fillId="35" borderId="0" xfId="50" applyFont="1" applyFill="1" applyBorder="1" applyProtection="1">
      <alignment/>
      <protection hidden="1"/>
    </xf>
    <xf numFmtId="4" fontId="3" fillId="35" borderId="0" xfId="50" applyNumberFormat="1" applyFont="1" applyFill="1" applyBorder="1" applyProtection="1">
      <alignment/>
      <protection hidden="1"/>
    </xf>
    <xf numFmtId="3" fontId="3" fillId="35" borderId="0" xfId="50" applyNumberFormat="1" applyFont="1" applyFill="1" applyBorder="1">
      <alignment/>
      <protection/>
    </xf>
    <xf numFmtId="164" fontId="3" fillId="35" borderId="0" xfId="50" applyNumberFormat="1" applyFont="1" applyFill="1" applyBorder="1" applyProtection="1">
      <alignment/>
      <protection hidden="1"/>
    </xf>
    <xf numFmtId="0" fontId="4" fillId="35" borderId="0" xfId="50" applyFont="1" applyFill="1" applyBorder="1" applyAlignment="1" applyProtection="1">
      <alignment horizontal="left" wrapText="1"/>
      <protection hidden="1"/>
    </xf>
    <xf numFmtId="0" fontId="0" fillId="35" borderId="0" xfId="52" applyFill="1" applyBorder="1" applyAlignment="1">
      <alignment wrapText="1"/>
      <protection/>
    </xf>
    <xf numFmtId="3" fontId="4" fillId="35" borderId="0" xfId="50" applyNumberFormat="1" applyFont="1" applyFill="1" applyBorder="1" applyAlignment="1" applyProtection="1">
      <alignment horizontal="right"/>
      <protection hidden="1"/>
    </xf>
    <xf numFmtId="4" fontId="3" fillId="35" borderId="0" xfId="50" applyNumberFormat="1" applyFont="1" applyFill="1" applyBorder="1" applyAlignment="1" applyProtection="1">
      <alignment horizontal="right"/>
      <protection hidden="1"/>
    </xf>
    <xf numFmtId="0" fontId="4" fillId="35" borderId="0" xfId="50" applyFont="1" applyFill="1" applyBorder="1">
      <alignment/>
      <protection/>
    </xf>
    <xf numFmtId="167" fontId="4" fillId="35" borderId="0" xfId="57" applyNumberFormat="1" applyFont="1" applyFill="1" applyBorder="1" applyAlignment="1" applyProtection="1">
      <alignment/>
      <protection hidden="1"/>
    </xf>
    <xf numFmtId="167" fontId="4" fillId="35" borderId="0" xfId="57" applyNumberFormat="1" applyFont="1" applyFill="1" applyBorder="1" applyAlignment="1" applyProtection="1">
      <alignment horizontal="center"/>
      <protection hidden="1"/>
    </xf>
    <xf numFmtId="3" fontId="4" fillId="35" borderId="0" xfId="57" applyNumberFormat="1" applyFont="1" applyFill="1" applyBorder="1" applyAlignment="1" applyProtection="1">
      <alignment/>
      <protection hidden="1"/>
    </xf>
    <xf numFmtId="3" fontId="4" fillId="35" borderId="0" xfId="57" applyNumberFormat="1" applyFont="1" applyFill="1" applyBorder="1" applyAlignment="1" applyProtection="1">
      <alignment horizontal="center"/>
      <protection hidden="1"/>
    </xf>
    <xf numFmtId="169" fontId="4" fillId="35" borderId="0" xfId="50" applyNumberFormat="1" applyFont="1" applyFill="1" applyBorder="1">
      <alignment/>
      <protection/>
    </xf>
    <xf numFmtId="168" fontId="3" fillId="35" borderId="0" xfId="50" applyNumberFormat="1" applyFont="1" applyFill="1" applyBorder="1">
      <alignment/>
      <protection/>
    </xf>
    <xf numFmtId="0" fontId="37" fillId="35" borderId="0" xfId="0" applyFont="1" applyFill="1" applyBorder="1" applyAlignment="1" applyProtection="1">
      <alignment/>
      <protection hidden="1"/>
    </xf>
    <xf numFmtId="3" fontId="37" fillId="35" borderId="0" xfId="0" applyNumberFormat="1" applyFont="1" applyFill="1" applyBorder="1" applyAlignment="1" applyProtection="1">
      <alignment/>
      <protection hidden="1"/>
    </xf>
    <xf numFmtId="3" fontId="38" fillId="35" borderId="29" xfId="0" applyNumberFormat="1" applyFont="1" applyFill="1" applyBorder="1" applyAlignment="1" applyProtection="1">
      <alignment/>
      <protection hidden="1"/>
    </xf>
    <xf numFmtId="0" fontId="39" fillId="35" borderId="0" xfId="0" applyFont="1" applyFill="1" applyBorder="1" applyAlignment="1" applyProtection="1">
      <alignment/>
      <protection hidden="1"/>
    </xf>
    <xf numFmtId="0" fontId="40" fillId="35" borderId="0" xfId="0" applyFont="1" applyFill="1" applyBorder="1" applyAlignment="1" applyProtection="1">
      <alignment/>
      <protection hidden="1"/>
    </xf>
    <xf numFmtId="172" fontId="39" fillId="35" borderId="0" xfId="0" applyNumberFormat="1" applyFont="1" applyFill="1" applyBorder="1" applyAlignment="1" applyProtection="1">
      <alignment/>
      <protection hidden="1"/>
    </xf>
    <xf numFmtId="172" fontId="40" fillId="35" borderId="0" xfId="0" applyNumberFormat="1" applyFont="1" applyFill="1" applyBorder="1" applyAlignment="1" applyProtection="1">
      <alignment/>
      <protection hidden="1"/>
    </xf>
    <xf numFmtId="0" fontId="40" fillId="35" borderId="0" xfId="0" applyFont="1" applyFill="1" applyAlignment="1">
      <alignment/>
    </xf>
    <xf numFmtId="0" fontId="40" fillId="35" borderId="0" xfId="0" applyFont="1" applyFill="1" applyAlignment="1">
      <alignment horizontal="right"/>
    </xf>
    <xf numFmtId="3" fontId="37" fillId="35" borderId="30" xfId="0" applyNumberFormat="1" applyFont="1" applyFill="1" applyBorder="1" applyAlignment="1">
      <alignment horizontal="right"/>
    </xf>
    <xf numFmtId="3" fontId="38" fillId="35" borderId="31" xfId="0" applyNumberFormat="1" applyFont="1" applyFill="1" applyBorder="1" applyAlignment="1" applyProtection="1">
      <alignment/>
      <protection hidden="1"/>
    </xf>
    <xf numFmtId="3" fontId="38" fillId="35" borderId="32" xfId="0" applyNumberFormat="1" applyFont="1" applyFill="1" applyBorder="1" applyAlignment="1" applyProtection="1">
      <alignment/>
      <protection hidden="1"/>
    </xf>
    <xf numFmtId="3" fontId="37" fillId="35" borderId="24" xfId="0" applyNumberFormat="1" applyFont="1" applyFill="1" applyBorder="1" applyAlignment="1" applyProtection="1">
      <alignment/>
      <protection hidden="1"/>
    </xf>
    <xf numFmtId="3" fontId="38" fillId="35" borderId="33" xfId="0" applyNumberFormat="1" applyFont="1" applyFill="1" applyBorder="1" applyAlignment="1" applyProtection="1">
      <alignment/>
      <protection hidden="1"/>
    </xf>
    <xf numFmtId="3" fontId="38" fillId="35" borderId="26" xfId="0" applyNumberFormat="1" applyFont="1" applyFill="1" applyBorder="1" applyAlignment="1" applyProtection="1">
      <alignment/>
      <protection hidden="1"/>
    </xf>
    <xf numFmtId="3" fontId="38" fillId="35" borderId="27" xfId="0" applyNumberFormat="1" applyFont="1" applyFill="1" applyBorder="1" applyAlignment="1" applyProtection="1">
      <alignment/>
      <protection hidden="1"/>
    </xf>
    <xf numFmtId="3" fontId="37" fillId="35" borderId="26" xfId="0" applyNumberFormat="1" applyFont="1" applyFill="1" applyBorder="1" applyAlignment="1" applyProtection="1">
      <alignment/>
      <protection hidden="1"/>
    </xf>
    <xf numFmtId="3" fontId="37" fillId="35" borderId="27" xfId="0" applyNumberFormat="1" applyFont="1" applyFill="1" applyBorder="1" applyAlignment="1" applyProtection="1">
      <alignment/>
      <protection hidden="1"/>
    </xf>
    <xf numFmtId="3" fontId="37" fillId="35" borderId="34" xfId="0" applyNumberFormat="1" applyFont="1" applyFill="1" applyBorder="1" applyAlignment="1">
      <alignment horizontal="right"/>
    </xf>
    <xf numFmtId="3" fontId="37" fillId="35" borderId="24" xfId="0" applyNumberFormat="1" applyFont="1" applyFill="1" applyBorder="1" applyAlignment="1" applyProtection="1">
      <alignment horizontal="right"/>
      <protection hidden="1"/>
    </xf>
    <xf numFmtId="3" fontId="38" fillId="35" borderId="35" xfId="0" applyNumberFormat="1" applyFont="1" applyFill="1" applyBorder="1" applyAlignment="1" applyProtection="1">
      <alignment horizontal="right"/>
      <protection hidden="1"/>
    </xf>
    <xf numFmtId="3" fontId="38" fillId="35" borderId="36" xfId="0" applyNumberFormat="1" applyFont="1" applyFill="1" applyBorder="1" applyAlignment="1" applyProtection="1">
      <alignment/>
      <protection hidden="1"/>
    </xf>
    <xf numFmtId="3" fontId="38" fillId="35" borderId="35" xfId="0" applyNumberFormat="1" applyFont="1" applyFill="1" applyBorder="1" applyAlignment="1" applyProtection="1">
      <alignment/>
      <protection hidden="1"/>
    </xf>
    <xf numFmtId="3" fontId="38" fillId="35" borderId="37" xfId="0" applyNumberFormat="1" applyFont="1" applyFill="1" applyBorder="1" applyAlignment="1" applyProtection="1">
      <alignment/>
      <protection hidden="1"/>
    </xf>
    <xf numFmtId="0" fontId="32" fillId="13" borderId="38" xfId="0" applyFont="1" applyFill="1" applyBorder="1" applyAlignment="1" applyProtection="1">
      <alignment horizontal="center"/>
      <protection hidden="1"/>
    </xf>
    <xf numFmtId="0" fontId="32" fillId="13" borderId="39" xfId="0" applyFont="1" applyFill="1" applyBorder="1" applyAlignment="1" applyProtection="1">
      <alignment horizontal="center"/>
      <protection hidden="1"/>
    </xf>
    <xf numFmtId="0" fontId="32" fillId="11" borderId="38" xfId="0" applyFont="1" applyFill="1" applyBorder="1" applyAlignment="1" applyProtection="1">
      <alignment horizontal="center"/>
      <protection hidden="1"/>
    </xf>
    <xf numFmtId="0" fontId="32" fillId="11" borderId="40" xfId="0" applyFont="1" applyFill="1" applyBorder="1" applyAlignment="1" applyProtection="1">
      <alignment horizontal="left"/>
      <protection hidden="1"/>
    </xf>
    <xf numFmtId="0" fontId="32" fillId="11" borderId="21" xfId="0" applyFont="1" applyFill="1" applyBorder="1" applyAlignment="1" applyProtection="1">
      <alignment horizontal="left"/>
      <protection hidden="1"/>
    </xf>
    <xf numFmtId="0" fontId="32" fillId="11" borderId="22" xfId="0" applyFont="1" applyFill="1" applyBorder="1" applyAlignment="1" applyProtection="1">
      <alignment horizontal="center"/>
      <protection hidden="1"/>
    </xf>
    <xf numFmtId="0" fontId="32" fillId="11" borderId="21" xfId="0" applyFont="1" applyFill="1" applyBorder="1" applyAlignment="1" applyProtection="1">
      <alignment horizontal="center"/>
      <protection hidden="1"/>
    </xf>
    <xf numFmtId="0" fontId="32" fillId="11" borderId="41" xfId="0" applyFont="1" applyFill="1" applyBorder="1" applyAlignment="1" applyProtection="1">
      <alignment horizontal="center"/>
      <protection hidden="1"/>
    </xf>
    <xf numFmtId="0" fontId="37" fillId="11" borderId="0" xfId="0" applyFont="1" applyFill="1" applyBorder="1" applyAlignment="1" applyProtection="1">
      <alignment/>
      <protection hidden="1"/>
    </xf>
    <xf numFmtId="0" fontId="41" fillId="11" borderId="0" xfId="0" applyFont="1" applyFill="1" applyBorder="1" applyAlignment="1" applyProtection="1">
      <alignment horizontal="center"/>
      <protection hidden="1"/>
    </xf>
    <xf numFmtId="0" fontId="38" fillId="11" borderId="0" xfId="0" applyFont="1" applyFill="1" applyBorder="1" applyAlignment="1" applyProtection="1">
      <alignment horizontal="center"/>
      <protection hidden="1"/>
    </xf>
    <xf numFmtId="0" fontId="38" fillId="11" borderId="24" xfId="0" applyFont="1" applyFill="1" applyBorder="1" applyAlignment="1" applyProtection="1">
      <alignment horizontal="center"/>
      <protection hidden="1"/>
    </xf>
    <xf numFmtId="175" fontId="41" fillId="11" borderId="25" xfId="0" applyNumberFormat="1" applyFont="1" applyFill="1" applyBorder="1" applyAlignment="1" applyProtection="1">
      <alignment horizontal="left"/>
      <protection hidden="1"/>
    </xf>
    <xf numFmtId="175" fontId="41" fillId="11" borderId="26" xfId="0" applyNumberFormat="1" applyFont="1" applyFill="1" applyBorder="1" applyAlignment="1" applyProtection="1">
      <alignment horizontal="left"/>
      <protection hidden="1"/>
    </xf>
    <xf numFmtId="0" fontId="37" fillId="11" borderId="26" xfId="0" applyFont="1" applyFill="1" applyBorder="1" applyAlignment="1">
      <alignment horizontal="center"/>
    </xf>
    <xf numFmtId="0" fontId="37" fillId="11" borderId="27" xfId="0" applyFont="1" applyFill="1" applyBorder="1" applyAlignment="1">
      <alignment horizontal="center"/>
    </xf>
    <xf numFmtId="0" fontId="32" fillId="11" borderId="39" xfId="0" applyFont="1" applyFill="1" applyBorder="1" applyAlignment="1" applyProtection="1">
      <alignment horizontal="left"/>
      <protection hidden="1"/>
    </xf>
    <xf numFmtId="175" fontId="41" fillId="11" borderId="23" xfId="0" applyNumberFormat="1" applyFont="1" applyFill="1" applyBorder="1" applyAlignment="1" applyProtection="1">
      <alignment horizontal="left"/>
      <protection hidden="1"/>
    </xf>
    <xf numFmtId="175" fontId="41" fillId="11" borderId="0" xfId="0" applyNumberFormat="1" applyFont="1" applyFill="1" applyBorder="1" applyAlignment="1" applyProtection="1">
      <alignment horizontal="left"/>
      <protection hidden="1"/>
    </xf>
    <xf numFmtId="0" fontId="37" fillId="11" borderId="0" xfId="0" applyFont="1" applyFill="1" applyBorder="1" applyAlignment="1">
      <alignment horizontal="center"/>
    </xf>
    <xf numFmtId="0" fontId="37" fillId="11" borderId="24" xfId="0" applyFont="1" applyFill="1" applyBorder="1" applyAlignment="1">
      <alignment horizontal="center"/>
    </xf>
    <xf numFmtId="0" fontId="42" fillId="34" borderId="23" xfId="0" applyFont="1" applyFill="1" applyBorder="1" applyAlignment="1">
      <alignment/>
    </xf>
    <xf numFmtId="0" fontId="42" fillId="34" borderId="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horizontal="right"/>
    </xf>
    <xf numFmtId="0" fontId="40" fillId="34" borderId="24" xfId="0" applyFont="1" applyFill="1" applyBorder="1" applyAlignment="1">
      <alignment/>
    </xf>
    <xf numFmtId="0" fontId="40" fillId="34" borderId="25" xfId="0" applyFont="1" applyFill="1" applyBorder="1" applyAlignment="1">
      <alignment/>
    </xf>
    <xf numFmtId="0" fontId="40" fillId="34" borderId="26" xfId="0" applyFont="1" applyFill="1" applyBorder="1" applyAlignment="1">
      <alignment/>
    </xf>
    <xf numFmtId="0" fontId="40" fillId="34" borderId="26" xfId="0" applyFont="1" applyFill="1" applyBorder="1" applyAlignment="1">
      <alignment horizontal="right"/>
    </xf>
    <xf numFmtId="0" fontId="40" fillId="34" borderId="27" xfId="0" applyFont="1" applyFill="1" applyBorder="1" applyAlignment="1">
      <alignment/>
    </xf>
    <xf numFmtId="0" fontId="40" fillId="35" borderId="0" xfId="52" applyFont="1" applyFill="1" applyBorder="1" applyProtection="1">
      <alignment/>
      <protection hidden="1"/>
    </xf>
    <xf numFmtId="3" fontId="40" fillId="35" borderId="0" xfId="52" applyNumberFormat="1" applyFont="1" applyFill="1" applyBorder="1" applyProtection="1">
      <alignment/>
      <protection hidden="1"/>
    </xf>
    <xf numFmtId="0" fontId="40" fillId="35" borderId="0" xfId="52" applyFont="1" applyFill="1" applyBorder="1">
      <alignment/>
      <protection/>
    </xf>
    <xf numFmtId="16" fontId="40" fillId="35" borderId="0" xfId="52" applyNumberFormat="1" applyFont="1" applyFill="1" applyBorder="1" applyProtection="1" quotePrefix="1">
      <alignment/>
      <protection hidden="1"/>
    </xf>
    <xf numFmtId="4" fontId="40" fillId="35" borderId="0" xfId="52" applyNumberFormat="1" applyFont="1" applyFill="1" applyBorder="1" applyProtection="1">
      <alignment/>
      <protection hidden="1"/>
    </xf>
    <xf numFmtId="0" fontId="39" fillId="35" borderId="0" xfId="52" applyFont="1" applyFill="1" applyBorder="1" applyProtection="1">
      <alignment/>
      <protection hidden="1"/>
    </xf>
    <xf numFmtId="16" fontId="40" fillId="35" borderId="0" xfId="52" applyNumberFormat="1" applyFont="1" applyFill="1" applyBorder="1" applyProtection="1">
      <alignment/>
      <protection hidden="1"/>
    </xf>
    <xf numFmtId="0" fontId="38" fillId="35" borderId="0" xfId="52" applyFont="1" applyFill="1" applyBorder="1" applyProtection="1">
      <alignment/>
      <protection hidden="1"/>
    </xf>
    <xf numFmtId="3" fontId="37" fillId="35" borderId="0" xfId="52" applyNumberFormat="1" applyFont="1" applyFill="1" applyBorder="1" applyProtection="1">
      <alignment/>
      <protection hidden="1"/>
    </xf>
    <xf numFmtId="3" fontId="39" fillId="35" borderId="0" xfId="52" applyNumberFormat="1" applyFont="1" applyFill="1" applyBorder="1" applyProtection="1">
      <alignment/>
      <protection hidden="1"/>
    </xf>
    <xf numFmtId="0" fontId="39" fillId="35" borderId="0" xfId="52" applyFont="1" applyFill="1" applyBorder="1" applyAlignment="1" applyProtection="1">
      <alignment horizontal="left"/>
      <protection hidden="1"/>
    </xf>
    <xf numFmtId="16" fontId="39" fillId="35" borderId="0" xfId="52" applyNumberFormat="1" applyFont="1" applyFill="1" applyBorder="1" applyProtection="1" quotePrefix="1">
      <alignment/>
      <protection hidden="1"/>
    </xf>
    <xf numFmtId="4" fontId="40" fillId="35" borderId="42" xfId="52" applyNumberFormat="1" applyFont="1" applyFill="1" applyBorder="1" applyProtection="1">
      <alignment/>
      <protection hidden="1"/>
    </xf>
    <xf numFmtId="0" fontId="43" fillId="35" borderId="0" xfId="52" applyFont="1" applyFill="1" applyBorder="1">
      <alignment/>
      <protection/>
    </xf>
    <xf numFmtId="3" fontId="40" fillId="35" borderId="0" xfId="0" applyNumberFormat="1" applyFont="1" applyFill="1" applyBorder="1" applyAlignment="1" applyProtection="1">
      <alignment/>
      <protection hidden="1"/>
    </xf>
    <xf numFmtId="0" fontId="40" fillId="35" borderId="0" xfId="0" applyFont="1" applyFill="1" applyBorder="1" applyAlignment="1">
      <alignment/>
    </xf>
    <xf numFmtId="16" fontId="40" fillId="35" borderId="0" xfId="0" applyNumberFormat="1" applyFont="1" applyFill="1" applyBorder="1" applyAlignment="1" applyProtection="1" quotePrefix="1">
      <alignment/>
      <protection hidden="1"/>
    </xf>
    <xf numFmtId="3" fontId="40" fillId="35" borderId="0" xfId="0" applyNumberFormat="1" applyFont="1" applyFill="1" applyBorder="1" applyAlignment="1">
      <alignment/>
    </xf>
    <xf numFmtId="16" fontId="40" fillId="35" borderId="0" xfId="0" applyNumberFormat="1" applyFont="1" applyFill="1" applyBorder="1" applyAlignment="1" applyProtection="1">
      <alignment/>
      <protection hidden="1"/>
    </xf>
    <xf numFmtId="3" fontId="39" fillId="35" borderId="0" xfId="0" applyNumberFormat="1" applyFont="1" applyFill="1" applyBorder="1" applyAlignment="1" applyProtection="1">
      <alignment/>
      <protection hidden="1"/>
    </xf>
    <xf numFmtId="16" fontId="40" fillId="35" borderId="0" xfId="0" applyNumberFormat="1" applyFont="1" applyFill="1" applyBorder="1" applyAlignment="1" applyProtection="1" quotePrefix="1">
      <alignment/>
      <protection hidden="1"/>
    </xf>
    <xf numFmtId="0" fontId="39" fillId="35" borderId="0" xfId="0" applyFont="1" applyFill="1" applyBorder="1" applyAlignment="1" applyProtection="1">
      <alignment horizontal="left"/>
      <protection hidden="1"/>
    </xf>
    <xf numFmtId="0" fontId="38" fillId="35" borderId="0" xfId="0" applyFont="1" applyFill="1" applyBorder="1" applyAlignment="1" applyProtection="1">
      <alignment/>
      <protection hidden="1"/>
    </xf>
    <xf numFmtId="0" fontId="40" fillId="35" borderId="0" xfId="0" applyFont="1" applyFill="1" applyAlignment="1">
      <alignment horizontal="center"/>
    </xf>
    <xf numFmtId="2" fontId="40" fillId="35" borderId="0" xfId="0" applyNumberFormat="1" applyFont="1" applyFill="1" applyAlignment="1">
      <alignment/>
    </xf>
    <xf numFmtId="0" fontId="40" fillId="35" borderId="25" xfId="0" applyFont="1" applyFill="1" applyBorder="1" applyAlignment="1" applyProtection="1">
      <alignment/>
      <protection hidden="1"/>
    </xf>
    <xf numFmtId="3" fontId="40" fillId="35" borderId="26" xfId="0" applyNumberFormat="1" applyFont="1" applyFill="1" applyBorder="1" applyAlignment="1" applyProtection="1">
      <alignment horizontal="right"/>
      <protection hidden="1"/>
    </xf>
    <xf numFmtId="3" fontId="40" fillId="35" borderId="27" xfId="0" applyNumberFormat="1" applyFont="1" applyFill="1" applyBorder="1" applyAlignment="1" applyProtection="1">
      <alignment horizontal="right"/>
      <protection hidden="1"/>
    </xf>
    <xf numFmtId="3" fontId="39" fillId="35" borderId="0" xfId="0" applyNumberFormat="1" applyFont="1" applyFill="1" applyBorder="1" applyAlignment="1" applyProtection="1">
      <alignment horizontal="center"/>
      <protection hidden="1"/>
    </xf>
    <xf numFmtId="170" fontId="40" fillId="35" borderId="0" xfId="0" applyNumberFormat="1" applyFont="1" applyFill="1" applyBorder="1" applyAlignment="1" applyProtection="1">
      <alignment/>
      <protection hidden="1"/>
    </xf>
    <xf numFmtId="3" fontId="40" fillId="35" borderId="20" xfId="0" applyNumberFormat="1" applyFont="1" applyFill="1" applyBorder="1" applyAlignment="1" applyProtection="1">
      <alignment horizontal="right"/>
      <protection hidden="1"/>
    </xf>
    <xf numFmtId="3" fontId="40" fillId="35" borderId="21" xfId="0" applyNumberFormat="1" applyFont="1" applyFill="1" applyBorder="1" applyAlignment="1" applyProtection="1">
      <alignment horizontal="right"/>
      <protection hidden="1"/>
    </xf>
    <xf numFmtId="3" fontId="40" fillId="35" borderId="22" xfId="0" applyNumberFormat="1" applyFont="1" applyFill="1" applyBorder="1" applyAlignment="1" applyProtection="1">
      <alignment horizontal="right"/>
      <protection hidden="1"/>
    </xf>
    <xf numFmtId="2" fontId="40" fillId="35" borderId="0" xfId="0" applyNumberFormat="1" applyFont="1" applyFill="1" applyBorder="1" applyAlignment="1">
      <alignment/>
    </xf>
    <xf numFmtId="0" fontId="40" fillId="35" borderId="0" xfId="0" applyFont="1" applyFill="1" applyBorder="1" applyAlignment="1">
      <alignment horizontal="center"/>
    </xf>
    <xf numFmtId="177" fontId="40" fillId="35" borderId="0" xfId="0" applyNumberFormat="1" applyFont="1" applyFill="1" applyBorder="1" applyAlignment="1" applyProtection="1">
      <alignment horizontal="center"/>
      <protection hidden="1"/>
    </xf>
    <xf numFmtId="170" fontId="39" fillId="35" borderId="0" xfId="0" applyNumberFormat="1" applyFont="1" applyFill="1" applyBorder="1" applyAlignment="1" applyProtection="1">
      <alignment/>
      <protection hidden="1"/>
    </xf>
    <xf numFmtId="0" fontId="39" fillId="35" borderId="0" xfId="0" applyFont="1" applyFill="1" applyBorder="1" applyAlignment="1">
      <alignment/>
    </xf>
    <xf numFmtId="171" fontId="40" fillId="35" borderId="0" xfId="0" applyNumberFormat="1" applyFont="1" applyFill="1" applyBorder="1" applyAlignment="1" applyProtection="1">
      <alignment/>
      <protection hidden="1"/>
    </xf>
    <xf numFmtId="3" fontId="39" fillId="35" borderId="0" xfId="0" applyNumberFormat="1" applyFont="1" applyFill="1" applyBorder="1" applyAlignment="1">
      <alignment/>
    </xf>
    <xf numFmtId="0" fontId="40" fillId="35" borderId="0" xfId="0" applyFont="1" applyFill="1" applyBorder="1" applyAlignment="1">
      <alignment horizontal="left"/>
    </xf>
    <xf numFmtId="0" fontId="40" fillId="35" borderId="0" xfId="49" applyFont="1" applyFill="1" applyBorder="1" applyProtection="1">
      <alignment/>
      <protection hidden="1"/>
    </xf>
    <xf numFmtId="0" fontId="40" fillId="35" borderId="0" xfId="49" applyFont="1" applyFill="1" applyBorder="1">
      <alignment/>
      <protection/>
    </xf>
    <xf numFmtId="0" fontId="40" fillId="35" borderId="28" xfId="49" applyFont="1" applyFill="1" applyBorder="1" applyProtection="1">
      <alignment/>
      <protection hidden="1"/>
    </xf>
    <xf numFmtId="0" fontId="39" fillId="35" borderId="0" xfId="49" applyFont="1" applyFill="1" applyBorder="1" applyProtection="1">
      <alignment/>
      <protection hidden="1"/>
    </xf>
    <xf numFmtId="3" fontId="40" fillId="35" borderId="0" xfId="49" applyNumberFormat="1" applyFont="1" applyFill="1" applyBorder="1" applyProtection="1">
      <alignment/>
      <protection hidden="1"/>
    </xf>
    <xf numFmtId="3" fontId="39" fillId="35" borderId="0" xfId="49" applyNumberFormat="1" applyFont="1" applyFill="1" applyBorder="1" applyProtection="1">
      <alignment/>
      <protection hidden="1"/>
    </xf>
    <xf numFmtId="3" fontId="40" fillId="35" borderId="0" xfId="49" applyNumberFormat="1" applyFont="1" applyFill="1" applyBorder="1">
      <alignment/>
      <protection/>
    </xf>
    <xf numFmtId="0" fontId="39" fillId="35" borderId="28" xfId="49" applyFont="1" applyFill="1" applyBorder="1" applyProtection="1">
      <alignment/>
      <protection hidden="1"/>
    </xf>
    <xf numFmtId="4" fontId="40" fillId="35" borderId="0" xfId="49" applyNumberFormat="1" applyFont="1" applyFill="1" applyBorder="1" applyProtection="1">
      <alignment/>
      <protection hidden="1"/>
    </xf>
    <xf numFmtId="0" fontId="45" fillId="35" borderId="0" xfId="49" applyFont="1" applyFill="1" applyBorder="1" applyProtection="1">
      <alignment/>
      <protection hidden="1"/>
    </xf>
    <xf numFmtId="3" fontId="37" fillId="35" borderId="0" xfId="49" applyNumberFormat="1" applyFont="1" applyFill="1" applyBorder="1" applyProtection="1">
      <alignment/>
      <protection hidden="1"/>
    </xf>
    <xf numFmtId="3" fontId="39" fillId="35" borderId="0" xfId="49" applyNumberFormat="1" applyFont="1" applyFill="1" applyBorder="1" applyAlignment="1" applyProtection="1">
      <alignment horizontal="right"/>
      <protection hidden="1"/>
    </xf>
    <xf numFmtId="4" fontId="40" fillId="35" borderId="0" xfId="49" applyNumberFormat="1" applyFont="1" applyFill="1" applyBorder="1" applyAlignment="1" applyProtection="1">
      <alignment horizontal="right"/>
      <protection hidden="1"/>
    </xf>
    <xf numFmtId="0" fontId="39" fillId="35" borderId="0" xfId="49" applyFont="1" applyFill="1" applyBorder="1">
      <alignment/>
      <protection/>
    </xf>
    <xf numFmtId="0" fontId="29" fillId="35" borderId="0" xfId="54" applyFont="1" applyFill="1" applyBorder="1" applyAlignment="1">
      <alignment horizontal="center"/>
      <protection/>
    </xf>
    <xf numFmtId="167" fontId="39" fillId="35" borderId="0" xfId="56" applyNumberFormat="1" applyFont="1" applyFill="1" applyBorder="1" applyAlignment="1" applyProtection="1">
      <alignment/>
      <protection hidden="1"/>
    </xf>
    <xf numFmtId="167" fontId="39" fillId="35" borderId="0" xfId="56" applyNumberFormat="1" applyFont="1" applyFill="1" applyBorder="1" applyAlignment="1" applyProtection="1">
      <alignment horizontal="center"/>
      <protection hidden="1"/>
    </xf>
    <xf numFmtId="3" fontId="39" fillId="35" borderId="0" xfId="56" applyNumberFormat="1" applyFont="1" applyFill="1" applyBorder="1" applyAlignment="1" applyProtection="1">
      <alignment/>
      <protection hidden="1"/>
    </xf>
    <xf numFmtId="174" fontId="39" fillId="35" borderId="0" xfId="56" applyNumberFormat="1" applyFont="1" applyFill="1" applyBorder="1" applyAlignment="1" applyProtection="1">
      <alignment/>
      <protection hidden="1"/>
    </xf>
    <xf numFmtId="3" fontId="39" fillId="35" borderId="0" xfId="56" applyNumberFormat="1" applyFont="1" applyFill="1" applyBorder="1" applyAlignment="1" applyProtection="1">
      <alignment horizontal="center"/>
      <protection hidden="1"/>
    </xf>
    <xf numFmtId="0" fontId="32" fillId="35" borderId="0" xfId="0" applyFont="1" applyFill="1" applyBorder="1" applyAlignment="1" applyProtection="1">
      <alignment horizontal="left" vertical="center"/>
      <protection hidden="1"/>
    </xf>
    <xf numFmtId="3" fontId="45" fillId="35" borderId="43" xfId="0" applyNumberFormat="1" applyFont="1" applyFill="1" applyBorder="1" applyAlignment="1" applyProtection="1">
      <alignment/>
      <protection hidden="1"/>
    </xf>
    <xf numFmtId="3" fontId="45" fillId="35" borderId="44" xfId="0" applyNumberFormat="1" applyFont="1" applyFill="1" applyBorder="1" applyAlignment="1" applyProtection="1">
      <alignment/>
      <protection hidden="1"/>
    </xf>
    <xf numFmtId="3" fontId="45" fillId="35" borderId="0" xfId="0" applyNumberFormat="1" applyFont="1" applyFill="1" applyBorder="1" applyAlignment="1" applyProtection="1">
      <alignment/>
      <protection hidden="1"/>
    </xf>
    <xf numFmtId="3" fontId="38" fillId="35" borderId="27" xfId="37" applyNumberFormat="1" applyFont="1" applyFill="1" applyBorder="1" applyAlignment="1" applyProtection="1">
      <alignment horizontal="right"/>
      <protection hidden="1"/>
    </xf>
    <xf numFmtId="3" fontId="45" fillId="35" borderId="45" xfId="0" applyNumberFormat="1" applyFont="1" applyFill="1" applyBorder="1" applyAlignment="1" applyProtection="1">
      <alignment/>
      <protection hidden="1"/>
    </xf>
    <xf numFmtId="3" fontId="38" fillId="35" borderId="46" xfId="0" applyNumberFormat="1" applyFont="1" applyFill="1" applyBorder="1" applyAlignment="1" applyProtection="1">
      <alignment horizontal="right"/>
      <protection hidden="1"/>
    </xf>
    <xf numFmtId="3" fontId="40" fillId="35" borderId="40" xfId="0" applyNumberFormat="1" applyFont="1" applyFill="1" applyBorder="1" applyAlignment="1" applyProtection="1">
      <alignment horizontal="right"/>
      <protection hidden="1"/>
    </xf>
    <xf numFmtId="3" fontId="40" fillId="35" borderId="39" xfId="0" applyNumberFormat="1" applyFont="1" applyFill="1" applyBorder="1" applyAlignment="1" applyProtection="1">
      <alignment horizontal="right"/>
      <protection hidden="1"/>
    </xf>
    <xf numFmtId="3" fontId="45" fillId="35" borderId="24" xfId="0" applyNumberFormat="1" applyFont="1" applyFill="1" applyBorder="1" applyAlignment="1" applyProtection="1">
      <alignment/>
      <protection hidden="1"/>
    </xf>
    <xf numFmtId="3" fontId="45" fillId="35" borderId="47" xfId="0" applyNumberFormat="1" applyFont="1" applyFill="1" applyBorder="1" applyAlignment="1" applyProtection="1">
      <alignment/>
      <protection hidden="1"/>
    </xf>
    <xf numFmtId="3" fontId="40" fillId="35" borderId="26" xfId="0" applyNumberFormat="1" applyFont="1" applyFill="1" applyBorder="1" applyAlignment="1" applyProtection="1">
      <alignment/>
      <protection hidden="1"/>
    </xf>
    <xf numFmtId="3" fontId="40" fillId="35" borderId="27" xfId="0" applyNumberFormat="1" applyFont="1" applyFill="1" applyBorder="1" applyAlignment="1" applyProtection="1">
      <alignment/>
      <protection hidden="1"/>
    </xf>
    <xf numFmtId="3" fontId="40" fillId="35" borderId="48" xfId="0" applyNumberFormat="1" applyFont="1" applyFill="1" applyBorder="1" applyAlignment="1" applyProtection="1">
      <alignment horizontal="right"/>
      <protection hidden="1"/>
    </xf>
    <xf numFmtId="3" fontId="45" fillId="35" borderId="23" xfId="0" applyNumberFormat="1" applyFont="1" applyFill="1" applyBorder="1" applyAlignment="1" applyProtection="1">
      <alignment/>
      <protection hidden="1"/>
    </xf>
    <xf numFmtId="3" fontId="45" fillId="35" borderId="49" xfId="0" applyNumberFormat="1" applyFont="1" applyFill="1" applyBorder="1" applyAlignment="1" applyProtection="1">
      <alignment/>
      <protection hidden="1"/>
    </xf>
    <xf numFmtId="3" fontId="40" fillId="35" borderId="25" xfId="0" applyNumberFormat="1" applyFont="1" applyFill="1" applyBorder="1" applyAlignment="1" applyProtection="1">
      <alignment/>
      <protection hidden="1"/>
    </xf>
    <xf numFmtId="3" fontId="45" fillId="35" borderId="50" xfId="0" applyNumberFormat="1" applyFont="1" applyFill="1" applyBorder="1" applyAlignment="1" applyProtection="1">
      <alignment/>
      <protection hidden="1"/>
    </xf>
    <xf numFmtId="3" fontId="47" fillId="35" borderId="22" xfId="0" applyNumberFormat="1" applyFont="1" applyFill="1" applyBorder="1" applyAlignment="1">
      <alignment/>
    </xf>
    <xf numFmtId="3" fontId="47" fillId="35" borderId="24" xfId="0" applyNumberFormat="1" applyFont="1" applyFill="1" applyBorder="1" applyAlignment="1">
      <alignment/>
    </xf>
    <xf numFmtId="3" fontId="47" fillId="35" borderId="0" xfId="0" applyNumberFormat="1" applyFont="1" applyFill="1" applyBorder="1" applyAlignment="1">
      <alignment/>
    </xf>
    <xf numFmtId="0" fontId="47" fillId="35" borderId="0" xfId="0" applyFont="1" applyFill="1" applyBorder="1" applyAlignment="1">
      <alignment horizontal="center"/>
    </xf>
    <xf numFmtId="170" fontId="40" fillId="35" borderId="27" xfId="0" applyNumberFormat="1" applyFont="1" applyFill="1" applyBorder="1" applyAlignment="1" applyProtection="1">
      <alignment/>
      <protection hidden="1"/>
    </xf>
    <xf numFmtId="3" fontId="45" fillId="35" borderId="41" xfId="0" applyNumberFormat="1" applyFont="1" applyFill="1" applyBorder="1" applyAlignment="1">
      <alignment/>
    </xf>
    <xf numFmtId="3" fontId="40" fillId="35" borderId="41" xfId="0" applyNumberFormat="1" applyFont="1" applyFill="1" applyBorder="1" applyAlignment="1">
      <alignment/>
    </xf>
    <xf numFmtId="3" fontId="47" fillId="35" borderId="27" xfId="0" applyNumberFormat="1" applyFont="1" applyFill="1" applyBorder="1" applyAlignment="1">
      <alignment/>
    </xf>
    <xf numFmtId="3" fontId="47" fillId="35" borderId="47" xfId="0" applyNumberFormat="1" applyFont="1" applyFill="1" applyBorder="1" applyAlignment="1">
      <alignment/>
    </xf>
    <xf numFmtId="3" fontId="47" fillId="35" borderId="26" xfId="0" applyNumberFormat="1" applyFont="1" applyFill="1" applyBorder="1" applyAlignment="1">
      <alignment/>
    </xf>
    <xf numFmtId="170" fontId="40" fillId="35" borderId="26" xfId="0" applyNumberFormat="1" applyFont="1" applyFill="1" applyBorder="1" applyAlignment="1" applyProtection="1">
      <alignment/>
      <protection hidden="1"/>
    </xf>
    <xf numFmtId="0" fontId="32" fillId="13" borderId="48" xfId="0" applyFont="1" applyFill="1" applyBorder="1" applyAlignment="1" applyProtection="1">
      <alignment horizontal="left"/>
      <protection hidden="1"/>
    </xf>
    <xf numFmtId="0" fontId="25" fillId="35" borderId="0" xfId="0" applyFont="1" applyFill="1" applyAlignment="1">
      <alignment horizontal="center"/>
    </xf>
    <xf numFmtId="0" fontId="25" fillId="35" borderId="0" xfId="0" applyFont="1" applyFill="1" applyAlignment="1">
      <alignment horizontal="right"/>
    </xf>
    <xf numFmtId="0" fontId="95" fillId="34" borderId="4" xfId="0" applyFont="1" applyFill="1" applyBorder="1" applyAlignment="1">
      <alignment horizontal="center"/>
    </xf>
    <xf numFmtId="0" fontId="25" fillId="35" borderId="0" xfId="0" applyFont="1" applyFill="1" applyAlignment="1">
      <alignment/>
    </xf>
    <xf numFmtId="0" fontId="25" fillId="35" borderId="0" xfId="0" applyFont="1" applyFill="1" applyAlignment="1">
      <alignment horizontal="left"/>
    </xf>
    <xf numFmtId="0" fontId="25" fillId="11" borderId="19" xfId="0" applyFont="1" applyFill="1" applyBorder="1" applyAlignment="1">
      <alignment horizontal="center"/>
    </xf>
    <xf numFmtId="0" fontId="25" fillId="13" borderId="19" xfId="0" applyFont="1" applyFill="1" applyBorder="1" applyAlignment="1">
      <alignment horizontal="center"/>
    </xf>
    <xf numFmtId="0" fontId="40" fillId="35" borderId="24" xfId="0" applyFont="1" applyFill="1" applyBorder="1" applyAlignment="1">
      <alignment/>
    </xf>
    <xf numFmtId="170" fontId="40" fillId="35" borderId="24" xfId="0" applyNumberFormat="1" applyFont="1" applyFill="1" applyBorder="1" applyAlignment="1" applyProtection="1">
      <alignment/>
      <protection hidden="1"/>
    </xf>
    <xf numFmtId="16" fontId="32" fillId="36" borderId="19" xfId="0" applyNumberFormat="1" applyFont="1" applyFill="1" applyBorder="1" applyAlignment="1" applyProtection="1">
      <alignment horizontal="center" vertical="center"/>
      <protection hidden="1"/>
    </xf>
    <xf numFmtId="16" fontId="32" fillId="13" borderId="19" xfId="0" applyNumberFormat="1" applyFont="1" applyFill="1" applyBorder="1" applyAlignment="1" applyProtection="1">
      <alignment horizontal="center" vertical="center"/>
      <protection hidden="1"/>
    </xf>
    <xf numFmtId="0" fontId="29" fillId="13" borderId="51" xfId="0" applyFont="1" applyFill="1" applyBorder="1" applyAlignment="1" applyProtection="1">
      <alignment horizontal="left" vertical="center"/>
      <protection hidden="1"/>
    </xf>
    <xf numFmtId="0" fontId="29" fillId="13" borderId="26" xfId="0" applyFont="1" applyFill="1" applyBorder="1" applyAlignment="1" applyProtection="1">
      <alignment horizontal="left" vertical="center"/>
      <protection hidden="1"/>
    </xf>
    <xf numFmtId="170" fontId="40" fillId="35" borderId="21" xfId="0" applyNumberFormat="1" applyFont="1" applyFill="1" applyBorder="1" applyAlignment="1" applyProtection="1">
      <alignment/>
      <protection hidden="1"/>
    </xf>
    <xf numFmtId="0" fontId="29" fillId="36" borderId="35" xfId="0" applyFont="1" applyFill="1" applyBorder="1" applyAlignment="1" applyProtection="1">
      <alignment horizontal="left" vertical="center"/>
      <protection hidden="1"/>
    </xf>
    <xf numFmtId="0" fontId="37" fillId="35" borderId="26" xfId="0" applyFont="1" applyFill="1" applyBorder="1" applyAlignment="1" applyProtection="1">
      <alignment/>
      <protection hidden="1"/>
    </xf>
    <xf numFmtId="0" fontId="40" fillId="35" borderId="26" xfId="0" applyFont="1" applyFill="1" applyBorder="1" applyAlignment="1">
      <alignment/>
    </xf>
    <xf numFmtId="0" fontId="29" fillId="36" borderId="51" xfId="0" applyFont="1" applyFill="1" applyBorder="1" applyAlignment="1" applyProtection="1">
      <alignment horizontal="left" vertical="center"/>
      <protection hidden="1"/>
    </xf>
    <xf numFmtId="0" fontId="29" fillId="36" borderId="36" xfId="0" applyFont="1" applyFill="1" applyBorder="1" applyAlignment="1" applyProtection="1">
      <alignment horizontal="left" vertical="center"/>
      <protection hidden="1"/>
    </xf>
    <xf numFmtId="0" fontId="29" fillId="13" borderId="36" xfId="0" applyFont="1" applyFill="1" applyBorder="1" applyAlignment="1" applyProtection="1">
      <alignment horizontal="left" vertical="center"/>
      <protection hidden="1"/>
    </xf>
    <xf numFmtId="0" fontId="29" fillId="13" borderId="35" xfId="0" applyFont="1" applyFill="1" applyBorder="1" applyAlignment="1" applyProtection="1">
      <alignment horizontal="left" vertical="center"/>
      <protection hidden="1"/>
    </xf>
    <xf numFmtId="3" fontId="40" fillId="35" borderId="24" xfId="0" applyNumberFormat="1" applyFont="1" applyFill="1" applyBorder="1" applyAlignment="1" applyProtection="1">
      <alignment/>
      <protection hidden="1"/>
    </xf>
    <xf numFmtId="3" fontId="40" fillId="35" borderId="24" xfId="0" applyNumberFormat="1" applyFont="1" applyFill="1" applyBorder="1" applyAlignment="1">
      <alignment/>
    </xf>
    <xf numFmtId="3" fontId="39" fillId="35" borderId="26" xfId="0" applyNumberFormat="1" applyFont="1" applyFill="1" applyBorder="1" applyAlignment="1" applyProtection="1">
      <alignment/>
      <protection hidden="1"/>
    </xf>
    <xf numFmtId="3" fontId="39" fillId="35" borderId="27" xfId="0" applyNumberFormat="1" applyFont="1" applyFill="1" applyBorder="1" applyAlignment="1" applyProtection="1">
      <alignment/>
      <protection hidden="1"/>
    </xf>
    <xf numFmtId="3" fontId="38" fillId="35" borderId="22" xfId="0" applyNumberFormat="1" applyFont="1" applyFill="1" applyBorder="1" applyAlignment="1" applyProtection="1">
      <alignment/>
      <protection hidden="1"/>
    </xf>
    <xf numFmtId="3" fontId="38" fillId="35" borderId="24" xfId="0" applyNumberFormat="1" applyFont="1" applyFill="1" applyBorder="1" applyAlignment="1" applyProtection="1">
      <alignment/>
      <protection hidden="1"/>
    </xf>
    <xf numFmtId="0" fontId="25" fillId="35" borderId="52" xfId="52" applyFont="1" applyFill="1" applyBorder="1">
      <alignment/>
      <protection/>
    </xf>
    <xf numFmtId="0" fontId="25" fillId="35" borderId="37" xfId="52" applyFont="1" applyFill="1" applyBorder="1">
      <alignment/>
      <protection/>
    </xf>
    <xf numFmtId="0" fontId="25" fillId="35" borderId="53" xfId="52" applyFont="1" applyFill="1" applyBorder="1">
      <alignment/>
      <protection/>
    </xf>
    <xf numFmtId="3" fontId="38" fillId="35" borderId="27" xfId="0" applyNumberFormat="1" applyFont="1" applyFill="1" applyBorder="1" applyAlignment="1" applyProtection="1">
      <alignment/>
      <protection locked="0"/>
    </xf>
    <xf numFmtId="3" fontId="39" fillId="35" borderId="26" xfId="0" applyNumberFormat="1" applyFont="1" applyFill="1" applyBorder="1" applyAlignment="1" applyProtection="1">
      <alignment/>
      <protection locked="0"/>
    </xf>
    <xf numFmtId="3" fontId="39" fillId="35" borderId="26" xfId="0" applyNumberFormat="1" applyFont="1" applyFill="1" applyBorder="1" applyAlignment="1" applyProtection="1">
      <alignment/>
      <protection hidden="1"/>
    </xf>
    <xf numFmtId="3" fontId="39" fillId="35" borderId="27" xfId="0" applyNumberFormat="1" applyFont="1" applyFill="1" applyBorder="1" applyAlignment="1" applyProtection="1">
      <alignment/>
      <protection hidden="1"/>
    </xf>
    <xf numFmtId="3" fontId="38" fillId="35" borderId="47" xfId="0" applyNumberFormat="1" applyFont="1" applyFill="1" applyBorder="1" applyAlignment="1" applyProtection="1">
      <alignment/>
      <protection hidden="1"/>
    </xf>
    <xf numFmtId="3" fontId="40" fillId="35" borderId="45" xfId="0" applyNumberFormat="1" applyFont="1" applyFill="1" applyBorder="1" applyAlignment="1">
      <alignment/>
    </xf>
    <xf numFmtId="3" fontId="40" fillId="35" borderId="47" xfId="0" applyNumberFormat="1" applyFont="1" applyFill="1" applyBorder="1" applyAlignment="1">
      <alignment/>
    </xf>
    <xf numFmtId="3" fontId="39" fillId="35" borderId="0" xfId="52" applyNumberFormat="1" applyFont="1" applyFill="1" applyBorder="1" applyAlignment="1" applyProtection="1">
      <alignment/>
      <protection locked="0"/>
    </xf>
    <xf numFmtId="3" fontId="39" fillId="35" borderId="24" xfId="52" applyNumberFormat="1" applyFont="1" applyFill="1" applyBorder="1" applyAlignment="1" applyProtection="1">
      <alignment/>
      <protection locked="0"/>
    </xf>
    <xf numFmtId="3" fontId="38" fillId="35" borderId="24" xfId="52" applyNumberFormat="1" applyFont="1" applyFill="1" applyBorder="1" applyProtection="1">
      <alignment/>
      <protection hidden="1"/>
    </xf>
    <xf numFmtId="3" fontId="38" fillId="35" borderId="22" xfId="52" applyNumberFormat="1" applyFont="1" applyFill="1" applyBorder="1" applyProtection="1">
      <alignment/>
      <protection hidden="1"/>
    </xf>
    <xf numFmtId="3" fontId="38" fillId="35" borderId="27" xfId="52" applyNumberFormat="1" applyFont="1" applyFill="1" applyBorder="1" applyProtection="1">
      <alignment/>
      <protection locked="0"/>
    </xf>
    <xf numFmtId="3" fontId="39" fillId="35" borderId="26" xfId="52" applyNumberFormat="1" applyFont="1" applyFill="1" applyBorder="1" applyAlignment="1" applyProtection="1">
      <alignment/>
      <protection locked="0"/>
    </xf>
    <xf numFmtId="3" fontId="39" fillId="35" borderId="27" xfId="52" applyNumberFormat="1" applyFont="1" applyFill="1" applyBorder="1" applyAlignment="1" applyProtection="1">
      <alignment/>
      <protection locked="0"/>
    </xf>
    <xf numFmtId="3" fontId="38" fillId="35" borderId="47" xfId="52" applyNumberFormat="1" applyFont="1" applyFill="1" applyBorder="1" applyProtection="1">
      <alignment/>
      <protection hidden="1"/>
    </xf>
    <xf numFmtId="3" fontId="39" fillId="35" borderId="45" xfId="52" applyNumberFormat="1" applyFont="1" applyFill="1" applyBorder="1" applyAlignment="1" applyProtection="1">
      <alignment/>
      <protection locked="0"/>
    </xf>
    <xf numFmtId="3" fontId="39" fillId="35" borderId="47" xfId="52" applyNumberFormat="1" applyFont="1" applyFill="1" applyBorder="1" applyAlignment="1" applyProtection="1">
      <alignment/>
      <protection locked="0"/>
    </xf>
    <xf numFmtId="0" fontId="29" fillId="13" borderId="41" xfId="0" applyFont="1" applyFill="1" applyBorder="1" applyAlignment="1">
      <alignment horizontal="center"/>
    </xf>
    <xf numFmtId="0" fontId="38" fillId="13" borderId="27" xfId="0" applyFont="1" applyFill="1" applyBorder="1" applyAlignment="1" applyProtection="1">
      <alignment horizontal="center"/>
      <protection hidden="1"/>
    </xf>
    <xf numFmtId="0" fontId="26" fillId="13" borderId="26" xfId="0" applyFont="1" applyFill="1" applyBorder="1" applyAlignment="1">
      <alignment horizontal="left"/>
    </xf>
    <xf numFmtId="0" fontId="39" fillId="13" borderId="27" xfId="0" applyFont="1" applyFill="1" applyBorder="1" applyAlignment="1" applyProtection="1">
      <alignment/>
      <protection hidden="1"/>
    </xf>
    <xf numFmtId="0" fontId="26" fillId="13" borderId="54" xfId="0" applyFont="1" applyFill="1" applyBorder="1" applyAlignment="1">
      <alignment horizontal="left"/>
    </xf>
    <xf numFmtId="0" fontId="32" fillId="36" borderId="38" xfId="0" applyFont="1" applyFill="1" applyBorder="1" applyAlignment="1" applyProtection="1">
      <alignment horizontal="center" vertical="center"/>
      <protection hidden="1"/>
    </xf>
    <xf numFmtId="0" fontId="44" fillId="36" borderId="55" xfId="0" applyFont="1" applyFill="1" applyBorder="1" applyAlignment="1">
      <alignment/>
    </xf>
    <xf numFmtId="0" fontId="32" fillId="36" borderId="38" xfId="0" applyFont="1" applyFill="1" applyBorder="1" applyAlignment="1" applyProtection="1">
      <alignment horizontal="center"/>
      <protection hidden="1"/>
    </xf>
    <xf numFmtId="0" fontId="32" fillId="36" borderId="40" xfId="0" applyFont="1" applyFill="1" applyBorder="1" applyAlignment="1" applyProtection="1">
      <alignment horizontal="left"/>
      <protection hidden="1"/>
    </xf>
    <xf numFmtId="0" fontId="32" fillId="36" borderId="39" xfId="0" applyFont="1" applyFill="1" applyBorder="1" applyAlignment="1" applyProtection="1">
      <alignment horizontal="center"/>
      <protection hidden="1"/>
    </xf>
    <xf numFmtId="0" fontId="29" fillId="36" borderId="21" xfId="0" applyFont="1" applyFill="1" applyBorder="1" applyAlignment="1" applyProtection="1">
      <alignment horizontal="center"/>
      <protection hidden="1"/>
    </xf>
    <xf numFmtId="0" fontId="29" fillId="36" borderId="22" xfId="0" applyFont="1" applyFill="1" applyBorder="1" applyAlignment="1" applyProtection="1">
      <alignment horizontal="center"/>
      <protection hidden="1"/>
    </xf>
    <xf numFmtId="0" fontId="32" fillId="36" borderId="41" xfId="0" applyFont="1" applyFill="1" applyBorder="1" applyAlignment="1" applyProtection="1">
      <alignment horizontal="center"/>
      <protection hidden="1"/>
    </xf>
    <xf numFmtId="0" fontId="40" fillId="36" borderId="0" xfId="0" applyFont="1" applyFill="1" applyBorder="1" applyAlignment="1" applyProtection="1">
      <alignment/>
      <protection hidden="1"/>
    </xf>
    <xf numFmtId="0" fontId="41" fillId="36" borderId="0" xfId="0" applyFont="1" applyFill="1" applyBorder="1" applyAlignment="1" applyProtection="1">
      <alignment horizontal="center"/>
      <protection hidden="1"/>
    </xf>
    <xf numFmtId="0" fontId="41" fillId="36" borderId="24" xfId="0" applyFont="1" applyFill="1" applyBorder="1" applyAlignment="1" applyProtection="1">
      <alignment horizontal="center"/>
      <protection hidden="1"/>
    </xf>
    <xf numFmtId="0" fontId="40" fillId="36" borderId="23" xfId="0" applyFont="1" applyFill="1" applyBorder="1" applyAlignment="1" applyProtection="1">
      <alignment/>
      <protection hidden="1"/>
    </xf>
    <xf numFmtId="0" fontId="40" fillId="36" borderId="26" xfId="0" applyFont="1" applyFill="1" applyBorder="1" applyAlignment="1" applyProtection="1">
      <alignment/>
      <protection hidden="1"/>
    </xf>
    <xf numFmtId="0" fontId="26" fillId="36" borderId="26" xfId="0" applyFont="1" applyFill="1" applyBorder="1" applyAlignment="1">
      <alignment horizontal="center"/>
    </xf>
    <xf numFmtId="0" fontId="26" fillId="36" borderId="27" xfId="0" applyFont="1" applyFill="1" applyBorder="1" applyAlignment="1">
      <alignment horizontal="center"/>
    </xf>
    <xf numFmtId="0" fontId="32" fillId="36" borderId="20" xfId="0" applyFont="1" applyFill="1" applyBorder="1" applyAlignment="1" applyProtection="1">
      <alignment horizontal="center"/>
      <protection hidden="1"/>
    </xf>
    <xf numFmtId="0" fontId="32" fillId="36" borderId="48" xfId="0" applyFont="1" applyFill="1" applyBorder="1" applyAlignment="1" applyProtection="1">
      <alignment horizontal="left"/>
      <protection hidden="1"/>
    </xf>
    <xf numFmtId="0" fontId="32" fillId="36" borderId="21" xfId="0" applyFont="1" applyFill="1" applyBorder="1" applyAlignment="1" applyProtection="1">
      <alignment horizontal="center"/>
      <protection hidden="1"/>
    </xf>
    <xf numFmtId="0" fontId="32" fillId="36" borderId="22" xfId="0" applyFont="1" applyFill="1" applyBorder="1" applyAlignment="1" applyProtection="1">
      <alignment horizontal="center"/>
      <protection hidden="1"/>
    </xf>
    <xf numFmtId="0" fontId="32" fillId="36" borderId="25" xfId="0" applyFont="1" applyFill="1" applyBorder="1" applyAlignment="1" applyProtection="1">
      <alignment horizontal="center"/>
      <protection hidden="1"/>
    </xf>
    <xf numFmtId="0" fontId="38" fillId="36" borderId="0" xfId="0" applyFont="1" applyFill="1" applyBorder="1" applyAlignment="1" applyProtection="1">
      <alignment horizontal="center"/>
      <protection hidden="1"/>
    </xf>
    <xf numFmtId="0" fontId="38" fillId="36" borderId="24" xfId="0" applyFont="1" applyFill="1" applyBorder="1" applyAlignment="1" applyProtection="1">
      <alignment horizontal="center"/>
      <protection hidden="1"/>
    </xf>
    <xf numFmtId="0" fontId="37" fillId="36" borderId="0" xfId="0" applyFont="1" applyFill="1" applyBorder="1" applyAlignment="1">
      <alignment horizontal="center"/>
    </xf>
    <xf numFmtId="0" fontId="37" fillId="36" borderId="24" xfId="0" applyFont="1" applyFill="1" applyBorder="1" applyAlignment="1">
      <alignment horizontal="center"/>
    </xf>
    <xf numFmtId="0" fontId="32" fillId="36" borderId="56" xfId="0" applyFont="1" applyFill="1" applyBorder="1" applyAlignment="1" applyProtection="1">
      <alignment horizontal="left"/>
      <protection hidden="1"/>
    </xf>
    <xf numFmtId="0" fontId="37" fillId="36" borderId="0" xfId="0" applyFont="1" applyFill="1" applyBorder="1" applyAlignment="1" applyProtection="1">
      <alignment/>
      <protection hidden="1"/>
    </xf>
    <xf numFmtId="175" fontId="41" fillId="36" borderId="23" xfId="0" applyNumberFormat="1" applyFont="1" applyFill="1" applyBorder="1" applyAlignment="1" applyProtection="1">
      <alignment horizontal="left"/>
      <protection hidden="1"/>
    </xf>
    <xf numFmtId="178" fontId="41" fillId="36" borderId="0" xfId="0" applyNumberFormat="1" applyFont="1" applyFill="1" applyBorder="1" applyAlignment="1" applyProtection="1">
      <alignment horizontal="left"/>
      <protection hidden="1"/>
    </xf>
    <xf numFmtId="0" fontId="25" fillId="36" borderId="19" xfId="0" applyFont="1" applyFill="1" applyBorder="1" applyAlignment="1">
      <alignment horizontal="center"/>
    </xf>
    <xf numFmtId="0" fontId="25" fillId="34" borderId="19" xfId="0" applyFont="1" applyFill="1" applyBorder="1" applyAlignment="1">
      <alignment horizontal="center"/>
    </xf>
    <xf numFmtId="0" fontId="28" fillId="34" borderId="19" xfId="0" applyFont="1" applyFill="1" applyBorder="1" applyAlignment="1">
      <alignment horizontal="center"/>
    </xf>
    <xf numFmtId="0" fontId="33" fillId="34" borderId="19" xfId="0" applyFont="1" applyFill="1" applyBorder="1" applyAlignment="1">
      <alignment horizontal="center"/>
    </xf>
    <xf numFmtId="0" fontId="25" fillId="36" borderId="39" xfId="0" applyFont="1" applyFill="1" applyBorder="1" applyAlignment="1">
      <alignment horizontal="center"/>
    </xf>
    <xf numFmtId="0" fontId="29" fillId="36" borderId="41" xfId="0" applyFont="1" applyFill="1" applyBorder="1" applyAlignment="1">
      <alignment horizontal="center"/>
    </xf>
    <xf numFmtId="0" fontId="38" fillId="36" borderId="27" xfId="0" applyFont="1" applyFill="1" applyBorder="1" applyAlignment="1" applyProtection="1">
      <alignment horizontal="center"/>
      <protection hidden="1"/>
    </xf>
    <xf numFmtId="0" fontId="39" fillId="36" borderId="39" xfId="0" applyFont="1" applyFill="1" applyBorder="1" applyAlignment="1" applyProtection="1">
      <alignment horizontal="center"/>
      <protection hidden="1"/>
    </xf>
    <xf numFmtId="0" fontId="26" fillId="36" borderId="26" xfId="0" applyFont="1" applyFill="1" applyBorder="1" applyAlignment="1">
      <alignment horizontal="left"/>
    </xf>
    <xf numFmtId="0" fontId="39" fillId="36" borderId="27" xfId="0" applyFont="1" applyFill="1" applyBorder="1" applyAlignment="1" applyProtection="1">
      <alignment/>
      <protection hidden="1"/>
    </xf>
    <xf numFmtId="0" fontId="26" fillId="36" borderId="54" xfId="0" applyFont="1" applyFill="1" applyBorder="1" applyAlignment="1">
      <alignment horizontal="left"/>
    </xf>
    <xf numFmtId="0" fontId="32" fillId="11" borderId="20" xfId="0" applyFont="1" applyFill="1" applyBorder="1" applyAlignment="1" applyProtection="1">
      <alignment horizontal="center"/>
      <protection hidden="1"/>
    </xf>
    <xf numFmtId="0" fontId="32" fillId="11" borderId="23" xfId="0" applyFont="1" applyFill="1" applyBorder="1" applyAlignment="1" applyProtection="1">
      <alignment horizontal="center"/>
      <protection hidden="1"/>
    </xf>
    <xf numFmtId="0" fontId="40" fillId="11" borderId="23" xfId="0" applyFont="1" applyFill="1" applyBorder="1" applyAlignment="1">
      <alignment/>
    </xf>
    <xf numFmtId="0" fontId="40" fillId="11" borderId="25" xfId="0" applyFont="1" applyFill="1" applyBorder="1" applyAlignment="1">
      <alignment/>
    </xf>
    <xf numFmtId="3" fontId="25" fillId="35" borderId="57" xfId="52" applyNumberFormat="1" applyFont="1" applyFill="1" applyBorder="1" applyAlignment="1">
      <alignment horizontal="center"/>
      <protection/>
    </xf>
    <xf numFmtId="3" fontId="25" fillId="35" borderId="58" xfId="52" applyNumberFormat="1" applyFont="1" applyFill="1" applyBorder="1" applyAlignment="1">
      <alignment horizontal="center"/>
      <protection/>
    </xf>
    <xf numFmtId="0" fontId="25" fillId="35" borderId="59" xfId="52" applyFont="1" applyFill="1" applyBorder="1" applyAlignment="1">
      <alignment horizontal="center"/>
      <protection/>
    </xf>
    <xf numFmtId="0" fontId="32" fillId="36" borderId="38" xfId="52" applyFont="1" applyFill="1" applyBorder="1" applyAlignment="1" applyProtection="1">
      <alignment horizontal="center"/>
      <protection hidden="1"/>
    </xf>
    <xf numFmtId="0" fontId="32" fillId="36" borderId="48" xfId="52" applyFont="1" applyFill="1" applyBorder="1" applyAlignment="1" applyProtection="1">
      <alignment horizontal="left"/>
      <protection hidden="1"/>
    </xf>
    <xf numFmtId="0" fontId="32" fillId="36" borderId="39" xfId="52" applyFont="1" applyFill="1" applyBorder="1" applyAlignment="1" applyProtection="1">
      <alignment horizontal="left"/>
      <protection hidden="1"/>
    </xf>
    <xf numFmtId="0" fontId="29" fillId="36" borderId="41" xfId="52" applyFont="1" applyFill="1" applyBorder="1" applyAlignment="1">
      <alignment horizontal="center"/>
      <protection/>
    </xf>
    <xf numFmtId="0" fontId="26" fillId="36" borderId="54" xfId="52" applyFont="1" applyFill="1" applyBorder="1" applyAlignment="1">
      <alignment horizontal="left"/>
      <protection/>
    </xf>
    <xf numFmtId="0" fontId="38" fillId="36" borderId="27" xfId="52" applyFont="1" applyFill="1" applyBorder="1" applyAlignment="1" applyProtection="1">
      <alignment horizontal="center"/>
      <protection hidden="1"/>
    </xf>
    <xf numFmtId="0" fontId="26" fillId="36" borderId="26" xfId="52" applyFont="1" applyFill="1" applyBorder="1" applyAlignment="1">
      <alignment horizontal="left"/>
      <protection/>
    </xf>
    <xf numFmtId="0" fontId="39" fillId="36" borderId="27" xfId="52" applyFont="1" applyFill="1" applyBorder="1" applyProtection="1">
      <alignment/>
      <protection hidden="1"/>
    </xf>
    <xf numFmtId="0" fontId="26" fillId="36" borderId="60" xfId="52" applyFont="1" applyFill="1" applyBorder="1" applyAlignment="1">
      <alignment horizontal="left"/>
      <protection/>
    </xf>
    <xf numFmtId="0" fontId="10" fillId="11" borderId="38" xfId="0" applyFont="1" applyFill="1" applyBorder="1" applyAlignment="1" applyProtection="1">
      <alignment horizontal="center"/>
      <protection hidden="1"/>
    </xf>
    <xf numFmtId="0" fontId="10" fillId="11" borderId="61" xfId="0" applyFont="1" applyFill="1" applyBorder="1" applyAlignment="1" applyProtection="1">
      <alignment horizontal="center"/>
      <protection hidden="1"/>
    </xf>
    <xf numFmtId="0" fontId="10" fillId="11" borderId="41" xfId="0" applyFont="1" applyFill="1" applyBorder="1" applyAlignment="1" applyProtection="1">
      <alignment horizontal="center"/>
      <protection hidden="1"/>
    </xf>
    <xf numFmtId="0" fontId="22" fillId="11" borderId="51" xfId="0" applyFont="1" applyFill="1" applyBorder="1" applyAlignment="1">
      <alignment horizontal="center" wrapText="1"/>
    </xf>
    <xf numFmtId="0" fontId="13" fillId="11" borderId="35" xfId="0" applyFont="1" applyFill="1" applyBorder="1" applyAlignment="1" applyProtection="1">
      <alignment horizontal="center" wrapText="1"/>
      <protection hidden="1"/>
    </xf>
    <xf numFmtId="0" fontId="13" fillId="11" borderId="19" xfId="0" applyFont="1" applyFill="1" applyBorder="1" applyAlignment="1" applyProtection="1">
      <alignment horizontal="center" wrapText="1"/>
      <protection hidden="1"/>
    </xf>
    <xf numFmtId="0" fontId="13" fillId="35" borderId="23" xfId="0" applyFont="1" applyFill="1" applyBorder="1" applyAlignment="1">
      <alignment horizontal="left"/>
    </xf>
    <xf numFmtId="3" fontId="4" fillId="35" borderId="24" xfId="0" applyNumberFormat="1" applyFont="1" applyFill="1" applyBorder="1" applyAlignment="1" applyProtection="1">
      <alignment/>
      <protection locked="0"/>
    </xf>
    <xf numFmtId="16" fontId="3" fillId="35" borderId="25" xfId="0" applyNumberFormat="1" applyFont="1" applyFill="1" applyBorder="1" applyAlignment="1" applyProtection="1">
      <alignment/>
      <protection hidden="1"/>
    </xf>
    <xf numFmtId="0" fontId="12" fillId="35" borderId="26" xfId="0" applyFont="1" applyFill="1" applyBorder="1" applyAlignment="1" applyProtection="1">
      <alignment/>
      <protection hidden="1"/>
    </xf>
    <xf numFmtId="3" fontId="4" fillId="35" borderId="26" xfId="0" applyNumberFormat="1" applyFont="1" applyFill="1" applyBorder="1" applyAlignment="1" applyProtection="1">
      <alignment/>
      <protection locked="0"/>
    </xf>
    <xf numFmtId="3" fontId="4" fillId="35" borderId="27" xfId="0" applyNumberFormat="1" applyFont="1" applyFill="1" applyBorder="1" applyAlignment="1" applyProtection="1">
      <alignment/>
      <protection locked="0"/>
    </xf>
    <xf numFmtId="0" fontId="10" fillId="11" borderId="23" xfId="0" applyFont="1" applyFill="1" applyBorder="1" applyAlignment="1" applyProtection="1">
      <alignment horizontal="center"/>
      <protection hidden="1"/>
    </xf>
    <xf numFmtId="0" fontId="13" fillId="13" borderId="0" xfId="0" applyFont="1" applyFill="1" applyBorder="1" applyAlignment="1">
      <alignment horizontal="left"/>
    </xf>
    <xf numFmtId="3" fontId="4" fillId="35" borderId="45" xfId="0" applyNumberFormat="1" applyFont="1" applyFill="1" applyBorder="1" applyAlignment="1" applyProtection="1">
      <alignment/>
      <protection locked="0"/>
    </xf>
    <xf numFmtId="3" fontId="4" fillId="35" borderId="47" xfId="0" applyNumberFormat="1" applyFont="1" applyFill="1" applyBorder="1" applyAlignment="1" applyProtection="1">
      <alignment/>
      <protection locked="0"/>
    </xf>
    <xf numFmtId="0" fontId="13" fillId="35" borderId="49" xfId="0" applyFont="1" applyFill="1" applyBorder="1" applyAlignment="1">
      <alignment horizontal="left"/>
    </xf>
    <xf numFmtId="0" fontId="13" fillId="35" borderId="62" xfId="0" applyFont="1" applyFill="1" applyBorder="1" applyAlignment="1">
      <alignment horizontal="left"/>
    </xf>
    <xf numFmtId="0" fontId="13" fillId="35" borderId="63" xfId="0" applyFont="1" applyFill="1" applyBorder="1" applyAlignment="1">
      <alignment horizontal="left"/>
    </xf>
    <xf numFmtId="0" fontId="12" fillId="35" borderId="60" xfId="0" applyFont="1" applyFill="1" applyBorder="1" applyAlignment="1" applyProtection="1">
      <alignment/>
      <protection hidden="1"/>
    </xf>
    <xf numFmtId="3" fontId="3" fillId="35" borderId="45" xfId="0" applyNumberFormat="1" applyFont="1" applyFill="1" applyBorder="1" applyAlignment="1" applyProtection="1">
      <alignment/>
      <protection locked="0"/>
    </xf>
    <xf numFmtId="3" fontId="3" fillId="35" borderId="45" xfId="0" applyNumberFormat="1" applyFont="1" applyFill="1" applyBorder="1" applyAlignment="1">
      <alignment/>
    </xf>
    <xf numFmtId="3" fontId="3" fillId="35" borderId="24" xfId="0" applyNumberFormat="1" applyFont="1" applyFill="1" applyBorder="1" applyAlignment="1" applyProtection="1">
      <alignment/>
      <protection locked="0"/>
    </xf>
    <xf numFmtId="3" fontId="3" fillId="35" borderId="47" xfId="0" applyNumberFormat="1" applyFont="1" applyFill="1" applyBorder="1" applyAlignment="1" applyProtection="1">
      <alignment/>
      <protection locked="0"/>
    </xf>
    <xf numFmtId="3" fontId="3" fillId="35" borderId="24" xfId="0" applyNumberFormat="1" applyFont="1" applyFill="1" applyBorder="1" applyAlignment="1">
      <alignment/>
    </xf>
    <xf numFmtId="3" fontId="3" fillId="35" borderId="47" xfId="0" applyNumberFormat="1" applyFont="1" applyFill="1" applyBorder="1" applyAlignment="1">
      <alignment/>
    </xf>
    <xf numFmtId="0" fontId="10" fillId="13" borderId="40" xfId="0" applyFont="1" applyFill="1" applyBorder="1" applyAlignment="1" applyProtection="1">
      <alignment horizontal="left"/>
      <protection hidden="1"/>
    </xf>
    <xf numFmtId="0" fontId="10" fillId="13" borderId="38" xfId="0" applyFont="1" applyFill="1" applyBorder="1" applyAlignment="1" applyProtection="1">
      <alignment horizontal="center"/>
      <protection hidden="1"/>
    </xf>
    <xf numFmtId="0" fontId="9" fillId="13" borderId="41" xfId="0" applyFont="1" applyFill="1" applyBorder="1" applyAlignment="1">
      <alignment horizontal="center"/>
    </xf>
    <xf numFmtId="0" fontId="13" fillId="13" borderId="54" xfId="0" applyFont="1" applyFill="1" applyBorder="1" applyAlignment="1">
      <alignment horizontal="left"/>
    </xf>
    <xf numFmtId="0" fontId="13" fillId="13" borderId="26" xfId="0" applyFont="1" applyFill="1" applyBorder="1" applyAlignment="1">
      <alignment horizontal="left"/>
    </xf>
    <xf numFmtId="0" fontId="10" fillId="13" borderId="48" xfId="0" applyFont="1" applyFill="1" applyBorder="1" applyAlignment="1" applyProtection="1">
      <alignment horizontal="left"/>
      <protection hidden="1"/>
    </xf>
    <xf numFmtId="0" fontId="9" fillId="13" borderId="61" xfId="0" applyFont="1" applyFill="1" applyBorder="1" applyAlignment="1">
      <alignment horizontal="center"/>
    </xf>
    <xf numFmtId="0" fontId="10" fillId="13" borderId="39" xfId="0" applyFont="1" applyFill="1" applyBorder="1" applyAlignment="1" applyProtection="1">
      <alignment horizontal="center"/>
      <protection hidden="1"/>
    </xf>
    <xf numFmtId="0" fontId="12" fillId="13" borderId="27" xfId="0" applyFont="1" applyFill="1" applyBorder="1" applyAlignment="1" applyProtection="1">
      <alignment horizontal="center"/>
      <protection hidden="1"/>
    </xf>
    <xf numFmtId="3" fontId="12" fillId="35" borderId="24" xfId="0" applyNumberFormat="1" applyFont="1" applyFill="1" applyBorder="1" applyAlignment="1" applyProtection="1">
      <alignment/>
      <protection hidden="1"/>
    </xf>
    <xf numFmtId="3" fontId="12" fillId="35" borderId="47" xfId="0" applyNumberFormat="1" applyFont="1" applyFill="1" applyBorder="1" applyAlignment="1" applyProtection="1">
      <alignment/>
      <protection hidden="1"/>
    </xf>
    <xf numFmtId="3" fontId="12" fillId="35" borderId="27" xfId="0" applyNumberFormat="1" applyFont="1" applyFill="1" applyBorder="1" applyAlignment="1" applyProtection="1">
      <alignment/>
      <protection locked="0"/>
    </xf>
    <xf numFmtId="0" fontId="4" fillId="35" borderId="24" xfId="0" applyFont="1" applyFill="1" applyBorder="1" applyAlignment="1" applyProtection="1">
      <alignment/>
      <protection hidden="1"/>
    </xf>
    <xf numFmtId="0" fontId="4" fillId="35" borderId="47" xfId="0" applyFont="1" applyFill="1" applyBorder="1" applyAlignment="1" applyProtection="1">
      <alignment/>
      <protection hidden="1"/>
    </xf>
    <xf numFmtId="3" fontId="11" fillId="35" borderId="27" xfId="0" applyNumberFormat="1" applyFont="1" applyFill="1" applyBorder="1" applyAlignment="1" applyProtection="1">
      <alignment/>
      <protection hidden="1"/>
    </xf>
    <xf numFmtId="0" fontId="4" fillId="13" borderId="27" xfId="0" applyFont="1" applyFill="1" applyBorder="1" applyAlignment="1" applyProtection="1">
      <alignment/>
      <protection hidden="1"/>
    </xf>
    <xf numFmtId="3" fontId="11" fillId="35" borderId="24" xfId="0" applyNumberFormat="1" applyFont="1" applyFill="1" applyBorder="1" applyAlignment="1" applyProtection="1">
      <alignment/>
      <protection hidden="1"/>
    </xf>
    <xf numFmtId="3" fontId="11" fillId="35" borderId="47" xfId="0" applyNumberFormat="1" applyFont="1" applyFill="1" applyBorder="1" applyAlignment="1" applyProtection="1">
      <alignment/>
      <protection hidden="1"/>
    </xf>
    <xf numFmtId="3" fontId="12" fillId="35" borderId="27" xfId="0" applyNumberFormat="1" applyFont="1" applyFill="1" applyBorder="1" applyAlignment="1" applyProtection="1">
      <alignment/>
      <protection hidden="1"/>
    </xf>
    <xf numFmtId="3" fontId="4" fillId="35" borderId="26" xfId="0" applyNumberFormat="1" applyFont="1" applyFill="1" applyBorder="1" applyAlignment="1" applyProtection="1">
      <alignment/>
      <protection hidden="1"/>
    </xf>
    <xf numFmtId="3" fontId="4" fillId="35" borderId="27" xfId="0" applyNumberFormat="1" applyFont="1" applyFill="1" applyBorder="1" applyAlignment="1" applyProtection="1">
      <alignment/>
      <protection hidden="1"/>
    </xf>
    <xf numFmtId="3" fontId="3" fillId="35" borderId="24" xfId="0" applyNumberFormat="1" applyFont="1" applyFill="1" applyBorder="1" applyAlignment="1" applyProtection="1">
      <alignment/>
      <protection hidden="1"/>
    </xf>
    <xf numFmtId="3" fontId="3" fillId="35" borderId="24" xfId="0" applyNumberFormat="1" applyFont="1" applyFill="1" applyBorder="1" applyAlignment="1">
      <alignment/>
    </xf>
    <xf numFmtId="0" fontId="4" fillId="13" borderId="24" xfId="0" applyFont="1" applyFill="1" applyBorder="1" applyAlignment="1" applyProtection="1">
      <alignment/>
      <protection hidden="1"/>
    </xf>
    <xf numFmtId="3" fontId="3" fillId="35" borderId="22" xfId="0" applyNumberFormat="1" applyFont="1" applyFill="1" applyBorder="1" applyAlignment="1">
      <alignment/>
    </xf>
    <xf numFmtId="3" fontId="3" fillId="35" borderId="45" xfId="0" applyNumberFormat="1" applyFont="1" applyFill="1" applyBorder="1" applyAlignment="1" applyProtection="1">
      <alignment/>
      <protection hidden="1"/>
    </xf>
    <xf numFmtId="3" fontId="3" fillId="35" borderId="47" xfId="0" applyNumberFormat="1" applyFont="1" applyFill="1" applyBorder="1" applyAlignment="1" applyProtection="1">
      <alignment/>
      <protection hidden="1"/>
    </xf>
    <xf numFmtId="3" fontId="4" fillId="35" borderId="26" xfId="0" applyNumberFormat="1" applyFont="1" applyFill="1" applyBorder="1" applyAlignment="1" applyProtection="1">
      <alignment/>
      <protection hidden="1"/>
    </xf>
    <xf numFmtId="3" fontId="4" fillId="35" borderId="27" xfId="0" applyNumberFormat="1" applyFont="1" applyFill="1" applyBorder="1" applyAlignment="1" applyProtection="1">
      <alignment/>
      <protection hidden="1"/>
    </xf>
    <xf numFmtId="3" fontId="11" fillId="35" borderId="33" xfId="0" applyNumberFormat="1" applyFont="1" applyFill="1" applyBorder="1" applyAlignment="1" applyProtection="1">
      <alignment/>
      <protection hidden="1"/>
    </xf>
    <xf numFmtId="0" fontId="13" fillId="13" borderId="60" xfId="0" applyFont="1" applyFill="1" applyBorder="1" applyAlignment="1">
      <alignment horizontal="left"/>
    </xf>
    <xf numFmtId="0" fontId="3" fillId="35" borderId="21" xfId="0" applyFont="1" applyFill="1" applyBorder="1" applyAlignment="1">
      <alignment/>
    </xf>
    <xf numFmtId="0" fontId="10" fillId="11" borderId="38" xfId="0" applyFont="1" applyFill="1" applyBorder="1" applyAlignment="1" applyProtection="1">
      <alignment horizontal="center" wrapText="1"/>
      <protection hidden="1"/>
    </xf>
    <xf numFmtId="3" fontId="3" fillId="37" borderId="0" xfId="0" applyNumberFormat="1" applyFont="1" applyFill="1" applyBorder="1" applyAlignment="1" applyProtection="1">
      <alignment/>
      <protection hidden="1"/>
    </xf>
    <xf numFmtId="3" fontId="3" fillId="37" borderId="24" xfId="0" applyNumberFormat="1" applyFont="1" applyFill="1" applyBorder="1" applyAlignment="1" applyProtection="1">
      <alignment/>
      <protection hidden="1"/>
    </xf>
    <xf numFmtId="3" fontId="3" fillId="37" borderId="45" xfId="0" applyNumberFormat="1" applyFont="1" applyFill="1" applyBorder="1" applyAlignment="1" applyProtection="1">
      <alignment/>
      <protection locked="0"/>
    </xf>
    <xf numFmtId="3" fontId="3" fillId="37" borderId="47" xfId="0" applyNumberFormat="1" applyFont="1" applyFill="1" applyBorder="1" applyAlignment="1" applyProtection="1">
      <alignment/>
      <protection locked="0"/>
    </xf>
    <xf numFmtId="3" fontId="3" fillId="37" borderId="0" xfId="0" applyNumberFormat="1" applyFont="1" applyFill="1" applyBorder="1" applyAlignment="1">
      <alignment/>
    </xf>
    <xf numFmtId="3" fontId="3" fillId="37" borderId="24" xfId="0" applyNumberFormat="1" applyFont="1" applyFill="1" applyBorder="1" applyAlignment="1">
      <alignment/>
    </xf>
    <xf numFmtId="3" fontId="3" fillId="37" borderId="45" xfId="0" applyNumberFormat="1" applyFont="1" applyFill="1" applyBorder="1" applyAlignment="1" applyProtection="1">
      <alignment/>
      <protection hidden="1"/>
    </xf>
    <xf numFmtId="3" fontId="3" fillId="37" borderId="47" xfId="0" applyNumberFormat="1" applyFont="1" applyFill="1" applyBorder="1" applyAlignment="1" applyProtection="1">
      <alignment/>
      <protection hidden="1"/>
    </xf>
    <xf numFmtId="0" fontId="10" fillId="10" borderId="38" xfId="0" applyFont="1" applyFill="1" applyBorder="1" applyAlignment="1" applyProtection="1">
      <alignment horizontal="center"/>
      <protection hidden="1"/>
    </xf>
    <xf numFmtId="0" fontId="9" fillId="10" borderId="48" xfId="0" applyFont="1" applyFill="1" applyBorder="1" applyAlignment="1" applyProtection="1">
      <alignment horizontal="left"/>
      <protection hidden="1"/>
    </xf>
    <xf numFmtId="0" fontId="0" fillId="10" borderId="39" xfId="0" applyFill="1" applyBorder="1" applyAlignment="1">
      <alignment/>
    </xf>
    <xf numFmtId="0" fontId="9" fillId="10" borderId="41" xfId="0" applyFont="1" applyFill="1" applyBorder="1" applyAlignment="1">
      <alignment horizontal="center"/>
    </xf>
    <xf numFmtId="0" fontId="13" fillId="10" borderId="60" xfId="0" applyFont="1" applyFill="1" applyBorder="1" applyAlignment="1">
      <alignment horizontal="left"/>
    </xf>
    <xf numFmtId="0" fontId="12" fillId="10" borderId="27" xfId="0" applyFont="1" applyFill="1" applyBorder="1" applyAlignment="1" applyProtection="1">
      <alignment horizontal="center"/>
      <protection hidden="1"/>
    </xf>
    <xf numFmtId="0" fontId="10" fillId="10" borderId="40" xfId="0" applyFont="1" applyFill="1" applyBorder="1" applyAlignment="1" applyProtection="1">
      <alignment horizontal="left"/>
      <protection hidden="1"/>
    </xf>
    <xf numFmtId="0" fontId="4" fillId="10" borderId="39" xfId="0" applyFont="1" applyFill="1" applyBorder="1" applyAlignment="1" applyProtection="1">
      <alignment horizontal="left"/>
      <protection hidden="1"/>
    </xf>
    <xf numFmtId="0" fontId="13" fillId="10" borderId="26" xfId="0" applyFont="1" applyFill="1" applyBorder="1" applyAlignment="1">
      <alignment horizontal="left"/>
    </xf>
    <xf numFmtId="0" fontId="4" fillId="10" borderId="27" xfId="0" applyFont="1" applyFill="1" applyBorder="1" applyAlignment="1" applyProtection="1">
      <alignment/>
      <protection hidden="1"/>
    </xf>
    <xf numFmtId="0" fontId="9" fillId="10" borderId="40" xfId="0" applyFont="1" applyFill="1" applyBorder="1" applyAlignment="1" applyProtection="1">
      <alignment horizontal="left"/>
      <protection hidden="1"/>
    </xf>
    <xf numFmtId="3" fontId="3" fillId="35" borderId="26" xfId="0" applyNumberFormat="1" applyFont="1" applyFill="1" applyBorder="1" applyAlignment="1" applyProtection="1">
      <alignment/>
      <protection hidden="1"/>
    </xf>
    <xf numFmtId="3" fontId="3" fillId="35" borderId="27" xfId="0" applyNumberFormat="1" applyFont="1" applyFill="1" applyBorder="1" applyAlignment="1" applyProtection="1">
      <alignment/>
      <protection hidden="1"/>
    </xf>
    <xf numFmtId="3" fontId="3" fillId="35" borderId="24" xfId="0" applyNumberFormat="1" applyFont="1" applyFill="1" applyBorder="1" applyAlignment="1" applyProtection="1">
      <alignment/>
      <protection hidden="1"/>
    </xf>
    <xf numFmtId="3" fontId="3" fillId="35" borderId="26" xfId="0" applyNumberFormat="1" applyFont="1" applyFill="1" applyBorder="1" applyAlignment="1">
      <alignment/>
    </xf>
    <xf numFmtId="3" fontId="3" fillId="35" borderId="27" xfId="0" applyNumberFormat="1" applyFont="1" applyFill="1" applyBorder="1" applyAlignment="1">
      <alignment/>
    </xf>
    <xf numFmtId="0" fontId="10" fillId="11" borderId="20" xfId="0" applyFont="1" applyFill="1" applyBorder="1" applyAlignment="1" applyProtection="1">
      <alignment horizontal="center"/>
      <protection hidden="1"/>
    </xf>
    <xf numFmtId="0" fontId="3" fillId="11" borderId="25" xfId="49" applyFont="1" applyFill="1" applyBorder="1">
      <alignment/>
      <protection/>
    </xf>
    <xf numFmtId="0" fontId="10" fillId="10" borderId="48" xfId="0" applyFont="1" applyFill="1" applyBorder="1" applyAlignment="1" applyProtection="1">
      <alignment horizontal="left"/>
      <protection hidden="1"/>
    </xf>
    <xf numFmtId="0" fontId="4" fillId="10" borderId="39" xfId="0" applyFont="1" applyFill="1" applyBorder="1" applyAlignment="1" applyProtection="1">
      <alignment horizontal="center"/>
      <protection hidden="1"/>
    </xf>
    <xf numFmtId="0" fontId="13" fillId="10" borderId="54" xfId="0" applyFont="1" applyFill="1" applyBorder="1" applyAlignment="1">
      <alignment horizontal="left"/>
    </xf>
    <xf numFmtId="3" fontId="3" fillId="35" borderId="45" xfId="0" applyNumberFormat="1" applyFont="1" applyFill="1" applyBorder="1" applyAlignment="1" applyProtection="1">
      <alignment/>
      <protection hidden="1"/>
    </xf>
    <xf numFmtId="3" fontId="3" fillId="35" borderId="47" xfId="0" applyNumberFormat="1" applyFont="1" applyFill="1" applyBorder="1" applyAlignment="1" applyProtection="1">
      <alignment/>
      <protection hidden="1"/>
    </xf>
    <xf numFmtId="3" fontId="3" fillId="35" borderId="45" xfId="0" applyNumberFormat="1" applyFont="1" applyFill="1" applyBorder="1" applyAlignment="1">
      <alignment/>
    </xf>
    <xf numFmtId="3" fontId="3" fillId="35" borderId="47" xfId="0" applyNumberFormat="1" applyFont="1" applyFill="1" applyBorder="1" applyAlignment="1">
      <alignment/>
    </xf>
    <xf numFmtId="3" fontId="12" fillId="35" borderId="50" xfId="0" applyNumberFormat="1" applyFont="1" applyFill="1" applyBorder="1" applyAlignment="1" applyProtection="1">
      <alignment/>
      <protection hidden="1"/>
    </xf>
    <xf numFmtId="3" fontId="3" fillId="37" borderId="45" xfId="0" applyNumberFormat="1" applyFont="1" applyFill="1" applyBorder="1" applyAlignment="1" applyProtection="1">
      <alignment/>
      <protection hidden="1"/>
    </xf>
    <xf numFmtId="3" fontId="3" fillId="37" borderId="47" xfId="0" applyNumberFormat="1" applyFont="1" applyFill="1" applyBorder="1" applyAlignment="1" applyProtection="1">
      <alignment/>
      <protection hidden="1"/>
    </xf>
    <xf numFmtId="3" fontId="3" fillId="37" borderId="45" xfId="0" applyNumberFormat="1" applyFont="1" applyFill="1" applyBorder="1" applyAlignment="1">
      <alignment/>
    </xf>
    <xf numFmtId="3" fontId="3" fillId="37" borderId="47" xfId="0" applyNumberFormat="1" applyFont="1" applyFill="1" applyBorder="1" applyAlignment="1">
      <alignment/>
    </xf>
    <xf numFmtId="0" fontId="15" fillId="11" borderId="64" xfId="0" applyFont="1" applyFill="1" applyBorder="1" applyAlignment="1">
      <alignment horizontal="center"/>
    </xf>
    <xf numFmtId="0" fontId="0" fillId="10" borderId="39" xfId="0" applyFont="1" applyFill="1" applyBorder="1" applyAlignment="1">
      <alignment horizontal="center"/>
    </xf>
    <xf numFmtId="3" fontId="3" fillId="37" borderId="32" xfId="0" applyNumberFormat="1" applyFont="1" applyFill="1" applyBorder="1" applyAlignment="1">
      <alignment/>
    </xf>
    <xf numFmtId="3" fontId="3" fillId="37" borderId="33" xfId="0" applyNumberFormat="1" applyFont="1" applyFill="1" applyBorder="1" applyAlignment="1">
      <alignment/>
    </xf>
    <xf numFmtId="3" fontId="3" fillId="37" borderId="32" xfId="0" applyNumberFormat="1" applyFont="1" applyFill="1" applyBorder="1" applyAlignment="1" applyProtection="1">
      <alignment/>
      <protection hidden="1"/>
    </xf>
    <xf numFmtId="3" fontId="3" fillId="37" borderId="33" xfId="0" applyNumberFormat="1" applyFont="1" applyFill="1" applyBorder="1" applyAlignment="1" applyProtection="1">
      <alignment/>
      <protection hidden="1"/>
    </xf>
    <xf numFmtId="0" fontId="96" fillId="37" borderId="63" xfId="0" applyFont="1" applyFill="1" applyBorder="1" applyAlignment="1" applyProtection="1">
      <alignment horizontal="center"/>
      <protection hidden="1"/>
    </xf>
    <xf numFmtId="0" fontId="96" fillId="37" borderId="45" xfId="0" applyFont="1" applyFill="1" applyBorder="1" applyAlignment="1" applyProtection="1">
      <alignment horizontal="center"/>
      <protection hidden="1"/>
    </xf>
    <xf numFmtId="0" fontId="39" fillId="13" borderId="26" xfId="49" applyFont="1" applyFill="1" applyBorder="1" applyProtection="1">
      <alignment/>
      <protection hidden="1"/>
    </xf>
    <xf numFmtId="0" fontId="29" fillId="13" borderId="23" xfId="49" applyFont="1" applyFill="1" applyBorder="1" applyProtection="1">
      <alignment/>
      <protection hidden="1"/>
    </xf>
    <xf numFmtId="0" fontId="46" fillId="13" borderId="0" xfId="49" applyFont="1" applyFill="1" applyBorder="1" applyProtection="1">
      <alignment/>
      <protection hidden="1"/>
    </xf>
    <xf numFmtId="0" fontId="39" fillId="13" borderId="0" xfId="49" applyFont="1" applyFill="1" applyBorder="1">
      <alignment/>
      <protection/>
    </xf>
    <xf numFmtId="174" fontId="38" fillId="35" borderId="65" xfId="49" applyNumberFormat="1" applyFont="1" applyFill="1" applyBorder="1" applyProtection="1">
      <alignment/>
      <protection hidden="1"/>
    </xf>
    <xf numFmtId="0" fontId="32" fillId="13" borderId="51" xfId="49" applyFont="1" applyFill="1" applyBorder="1" applyProtection="1">
      <alignment/>
      <protection hidden="1"/>
    </xf>
    <xf numFmtId="0" fontId="39" fillId="13" borderId="36" xfId="49" applyFont="1" applyFill="1" applyBorder="1" applyProtection="1">
      <alignment/>
      <protection hidden="1"/>
    </xf>
    <xf numFmtId="0" fontId="39" fillId="13" borderId="36" xfId="49" applyFont="1" applyFill="1" applyBorder="1">
      <alignment/>
      <protection/>
    </xf>
    <xf numFmtId="3" fontId="38" fillId="35" borderId="66" xfId="49" applyNumberFormat="1" applyFont="1" applyFill="1" applyBorder="1" applyProtection="1">
      <alignment/>
      <protection hidden="1"/>
    </xf>
    <xf numFmtId="3" fontId="40" fillId="35" borderId="24" xfId="49" applyNumberFormat="1" applyFont="1" applyFill="1" applyBorder="1" applyProtection="1">
      <alignment/>
      <protection hidden="1"/>
    </xf>
    <xf numFmtId="3" fontId="39" fillId="35" borderId="24" xfId="49" applyNumberFormat="1" applyFont="1" applyFill="1" applyBorder="1">
      <alignment/>
      <protection/>
    </xf>
    <xf numFmtId="4" fontId="40" fillId="35" borderId="24" xfId="49" applyNumberFormat="1" applyFont="1" applyFill="1" applyBorder="1" applyAlignment="1" applyProtection="1">
      <alignment horizontal="right"/>
      <protection hidden="1"/>
    </xf>
    <xf numFmtId="3" fontId="39" fillId="35" borderId="26" xfId="49" applyNumberFormat="1" applyFont="1" applyFill="1" applyBorder="1" applyProtection="1">
      <alignment/>
      <protection hidden="1"/>
    </xf>
    <xf numFmtId="3" fontId="39" fillId="35" borderId="27" xfId="49" applyNumberFormat="1" applyFont="1" applyFill="1" applyBorder="1" applyProtection="1">
      <alignment/>
      <protection hidden="1"/>
    </xf>
    <xf numFmtId="4" fontId="40" fillId="35" borderId="24" xfId="49" applyNumberFormat="1" applyFont="1" applyFill="1" applyBorder="1" applyProtection="1">
      <alignment/>
      <protection hidden="1"/>
    </xf>
    <xf numFmtId="16" fontId="32" fillId="13" borderId="38" xfId="49" applyNumberFormat="1" applyFont="1" applyFill="1" applyBorder="1" applyAlignment="1" applyProtection="1">
      <alignment horizontal="center"/>
      <protection hidden="1"/>
    </xf>
    <xf numFmtId="0" fontId="32" fillId="13" borderId="41" xfId="49" applyFont="1" applyFill="1" applyBorder="1" applyAlignment="1" applyProtection="1">
      <alignment horizontal="center"/>
      <protection hidden="1"/>
    </xf>
    <xf numFmtId="0" fontId="29" fillId="13" borderId="26" xfId="49" applyFont="1" applyFill="1" applyBorder="1" applyProtection="1">
      <alignment/>
      <protection hidden="1"/>
    </xf>
    <xf numFmtId="16" fontId="32" fillId="13" borderId="20" xfId="49" applyNumberFormat="1" applyFont="1" applyFill="1" applyBorder="1" applyAlignment="1" applyProtection="1">
      <alignment horizontal="center"/>
      <protection hidden="1"/>
    </xf>
    <xf numFmtId="3" fontId="38" fillId="35" borderId="0" xfId="49" applyNumberFormat="1" applyFont="1" applyFill="1" applyBorder="1" applyProtection="1">
      <alignment/>
      <protection hidden="1"/>
    </xf>
    <xf numFmtId="167" fontId="38" fillId="35" borderId="0" xfId="49" applyNumberFormat="1" applyFont="1" applyFill="1" applyBorder="1" applyProtection="1">
      <alignment/>
      <protection hidden="1"/>
    </xf>
    <xf numFmtId="3" fontId="38" fillId="35" borderId="26" xfId="49" applyNumberFormat="1" applyFont="1" applyFill="1" applyBorder="1" applyProtection="1">
      <alignment/>
      <protection hidden="1"/>
    </xf>
    <xf numFmtId="3" fontId="38" fillId="35" borderId="45" xfId="49" applyNumberFormat="1" applyFont="1" applyFill="1" applyBorder="1" applyProtection="1">
      <alignment/>
      <protection hidden="1"/>
    </xf>
    <xf numFmtId="3" fontId="44" fillId="35" borderId="45" xfId="49" applyNumberFormat="1" applyFont="1" applyFill="1" applyBorder="1" applyProtection="1">
      <alignment/>
      <protection hidden="1"/>
    </xf>
    <xf numFmtId="3" fontId="44" fillId="35" borderId="47" xfId="49" applyNumberFormat="1" applyFont="1" applyFill="1" applyBorder="1" applyProtection="1">
      <alignment/>
      <protection hidden="1"/>
    </xf>
    <xf numFmtId="3" fontId="39" fillId="35" borderId="45" xfId="49" applyNumberFormat="1" applyFont="1" applyFill="1" applyBorder="1" applyProtection="1">
      <alignment/>
      <protection hidden="1"/>
    </xf>
    <xf numFmtId="3" fontId="39" fillId="35" borderId="47" xfId="49" applyNumberFormat="1" applyFont="1" applyFill="1" applyBorder="1" applyProtection="1">
      <alignment/>
      <protection hidden="1"/>
    </xf>
    <xf numFmtId="0" fontId="29" fillId="13" borderId="48" xfId="49" applyFont="1" applyFill="1" applyBorder="1" applyProtection="1">
      <alignment/>
      <protection hidden="1"/>
    </xf>
    <xf numFmtId="0" fontId="40" fillId="13" borderId="39" xfId="49" applyFont="1" applyFill="1" applyBorder="1" applyProtection="1">
      <alignment/>
      <protection hidden="1"/>
    </xf>
    <xf numFmtId="0" fontId="32" fillId="13" borderId="25" xfId="49" applyFont="1" applyFill="1" applyBorder="1" applyAlignment="1" applyProtection="1">
      <alignment horizontal="center"/>
      <protection hidden="1"/>
    </xf>
    <xf numFmtId="0" fontId="32" fillId="13" borderId="48" xfId="49" applyFont="1" applyFill="1" applyBorder="1" applyProtection="1">
      <alignment/>
      <protection hidden="1"/>
    </xf>
    <xf numFmtId="0" fontId="32" fillId="13" borderId="67" xfId="49" applyFont="1" applyFill="1" applyBorder="1" applyProtection="1">
      <alignment/>
      <protection hidden="1"/>
    </xf>
    <xf numFmtId="0" fontId="38" fillId="13" borderId="27" xfId="49" applyFont="1" applyFill="1" applyBorder="1" applyAlignment="1" applyProtection="1">
      <alignment horizontal="center"/>
      <protection hidden="1"/>
    </xf>
    <xf numFmtId="0" fontId="39" fillId="13" borderId="40" xfId="49" applyFont="1" applyFill="1" applyBorder="1" applyProtection="1">
      <alignment/>
      <protection hidden="1"/>
    </xf>
    <xf numFmtId="0" fontId="39" fillId="13" borderId="40" xfId="49" applyFont="1" applyFill="1" applyBorder="1">
      <alignment/>
      <protection/>
    </xf>
    <xf numFmtId="173" fontId="38" fillId="35" borderId="68" xfId="56" applyNumberFormat="1" applyFont="1" applyFill="1" applyBorder="1" applyAlignment="1" applyProtection="1">
      <alignment/>
      <protection hidden="1"/>
    </xf>
    <xf numFmtId="0" fontId="46" fillId="13" borderId="32" xfId="49" applyFont="1" applyFill="1" applyBorder="1" applyProtection="1">
      <alignment/>
      <protection hidden="1"/>
    </xf>
    <xf numFmtId="0" fontId="39" fillId="13" borderId="32" xfId="49" applyFont="1" applyFill="1" applyBorder="1">
      <alignment/>
      <protection/>
    </xf>
    <xf numFmtId="3" fontId="38" fillId="35" borderId="69" xfId="49" applyNumberFormat="1" applyFont="1" applyFill="1" applyBorder="1" applyProtection="1">
      <alignment/>
      <protection hidden="1"/>
    </xf>
    <xf numFmtId="0" fontId="29" fillId="13" borderId="70" xfId="49" applyFont="1" applyFill="1" applyBorder="1" applyProtection="1">
      <alignment/>
      <protection hidden="1"/>
    </xf>
    <xf numFmtId="0" fontId="10" fillId="13" borderId="39" xfId="0" applyFont="1" applyFill="1" applyBorder="1" applyAlignment="1" applyProtection="1">
      <alignment horizontal="left"/>
      <protection hidden="1"/>
    </xf>
    <xf numFmtId="3" fontId="3" fillId="37" borderId="0" xfId="0" applyNumberFormat="1" applyFont="1" applyFill="1" applyBorder="1" applyAlignment="1" applyProtection="1">
      <alignment/>
      <protection locked="0"/>
    </xf>
    <xf numFmtId="3" fontId="3" fillId="37" borderId="24" xfId="0" applyNumberFormat="1" applyFont="1" applyFill="1" applyBorder="1" applyAlignment="1" applyProtection="1">
      <alignment/>
      <protection locked="0"/>
    </xf>
    <xf numFmtId="0" fontId="13" fillId="35" borderId="24" xfId="0" applyFont="1" applyFill="1" applyBorder="1" applyAlignment="1">
      <alignment horizontal="center" wrapText="1"/>
    </xf>
    <xf numFmtId="0" fontId="13" fillId="35" borderId="31" xfId="0" applyFont="1" applyFill="1" applyBorder="1" applyAlignment="1">
      <alignment horizontal="center" wrapText="1"/>
    </xf>
    <xf numFmtId="0" fontId="13" fillId="35" borderId="33" xfId="0" applyFont="1" applyFill="1" applyBorder="1" applyAlignment="1">
      <alignment horizontal="center" wrapText="1"/>
    </xf>
    <xf numFmtId="4" fontId="13" fillId="35" borderId="55" xfId="0" applyNumberFormat="1" applyFont="1" applyFill="1" applyBorder="1" applyAlignment="1">
      <alignment horizontal="center" wrapText="1"/>
    </xf>
    <xf numFmtId="4" fontId="13" fillId="35" borderId="21" xfId="0" applyNumberFormat="1" applyFont="1" applyFill="1" applyBorder="1" applyAlignment="1">
      <alignment horizontal="center" wrapText="1"/>
    </xf>
    <xf numFmtId="4" fontId="13" fillId="35" borderId="22" xfId="0" applyNumberFormat="1" applyFont="1" applyFill="1" applyBorder="1" applyAlignment="1">
      <alignment horizontal="center" wrapText="1"/>
    </xf>
    <xf numFmtId="0" fontId="13" fillId="35" borderId="22" xfId="0" applyFont="1" applyFill="1" applyBorder="1" applyAlignment="1">
      <alignment horizontal="center" wrapText="1"/>
    </xf>
    <xf numFmtId="4" fontId="13" fillId="35" borderId="71" xfId="0" applyNumberFormat="1" applyFont="1" applyFill="1" applyBorder="1" applyAlignment="1">
      <alignment horizontal="center" wrapText="1"/>
    </xf>
    <xf numFmtId="0" fontId="13" fillId="35" borderId="47" xfId="0" applyFont="1" applyFill="1" applyBorder="1" applyAlignment="1">
      <alignment horizontal="center" wrapText="1"/>
    </xf>
    <xf numFmtId="3" fontId="13" fillId="35" borderId="55" xfId="0" applyNumberFormat="1" applyFont="1" applyFill="1" applyBorder="1" applyAlignment="1">
      <alignment horizontal="center" wrapText="1"/>
    </xf>
    <xf numFmtId="0" fontId="13" fillId="35" borderId="72" xfId="0" applyFont="1" applyFill="1" applyBorder="1" applyAlignment="1">
      <alignment horizontal="center" wrapText="1"/>
    </xf>
    <xf numFmtId="0" fontId="13" fillId="35" borderId="73" xfId="0" applyFont="1" applyFill="1" applyBorder="1" applyAlignment="1">
      <alignment horizontal="center" wrapText="1"/>
    </xf>
    <xf numFmtId="3" fontId="3" fillId="35" borderId="44" xfId="0" applyNumberFormat="1" applyFont="1" applyFill="1" applyBorder="1" applyAlignment="1" applyProtection="1">
      <alignment/>
      <protection locked="0"/>
    </xf>
    <xf numFmtId="3" fontId="3" fillId="35" borderId="44" xfId="0" applyNumberFormat="1" applyFont="1" applyFill="1" applyBorder="1" applyAlignment="1" applyProtection="1">
      <alignment/>
      <protection hidden="1"/>
    </xf>
    <xf numFmtId="0" fontId="13" fillId="35" borderId="63" xfId="0" applyFont="1" applyFill="1" applyBorder="1" applyAlignment="1">
      <alignment horizontal="center" wrapText="1"/>
    </xf>
    <xf numFmtId="0" fontId="13" fillId="35" borderId="74" xfId="0" applyFont="1" applyFill="1" applyBorder="1" applyAlignment="1">
      <alignment horizontal="center" wrapText="1"/>
    </xf>
    <xf numFmtId="0" fontId="13" fillId="35" borderId="75" xfId="0" applyFont="1" applyFill="1" applyBorder="1" applyAlignment="1">
      <alignment horizontal="center" wrapText="1"/>
    </xf>
    <xf numFmtId="0" fontId="13" fillId="35" borderId="30" xfId="0" applyFont="1" applyFill="1" applyBorder="1" applyAlignment="1">
      <alignment horizontal="center" wrapText="1"/>
    </xf>
    <xf numFmtId="3" fontId="3" fillId="35" borderId="24" xfId="0" applyNumberFormat="1" applyFont="1" applyFill="1" applyBorder="1" applyAlignment="1" applyProtection="1">
      <alignment/>
      <protection hidden="1"/>
    </xf>
    <xf numFmtId="3" fontId="3" fillId="35" borderId="50" xfId="0" applyNumberFormat="1" applyFont="1" applyFill="1" applyBorder="1" applyAlignment="1" applyProtection="1">
      <alignment/>
      <protection hidden="1"/>
    </xf>
    <xf numFmtId="3" fontId="3" fillId="35" borderId="45" xfId="0" applyNumberFormat="1" applyFont="1" applyFill="1" applyBorder="1" applyAlignment="1" applyProtection="1">
      <alignment/>
      <protection hidden="1"/>
    </xf>
    <xf numFmtId="3" fontId="3" fillId="35" borderId="50" xfId="0" applyNumberFormat="1" applyFont="1" applyFill="1" applyBorder="1" applyAlignment="1" applyProtection="1">
      <alignment/>
      <protection locked="0"/>
    </xf>
    <xf numFmtId="0" fontId="13" fillId="35" borderId="50" xfId="0" applyFont="1" applyFill="1" applyBorder="1" applyAlignment="1">
      <alignment horizontal="center" wrapText="1"/>
    </xf>
    <xf numFmtId="0" fontId="13" fillId="35" borderId="60" xfId="0" applyFont="1" applyFill="1" applyBorder="1" applyAlignment="1">
      <alignment horizontal="center" wrapText="1"/>
    </xf>
    <xf numFmtId="0" fontId="13" fillId="35" borderId="27" xfId="0" applyFont="1" applyFill="1" applyBorder="1" applyAlignment="1">
      <alignment horizontal="center" wrapText="1"/>
    </xf>
    <xf numFmtId="0" fontId="13" fillId="35" borderId="62" xfId="0" applyFont="1" applyFill="1" applyBorder="1" applyAlignment="1">
      <alignment horizontal="center" wrapText="1"/>
    </xf>
    <xf numFmtId="0" fontId="12" fillId="11" borderId="20" xfId="0" applyFont="1" applyFill="1" applyBorder="1" applyAlignment="1" applyProtection="1">
      <alignment horizontal="center"/>
      <protection hidden="1"/>
    </xf>
    <xf numFmtId="0" fontId="3" fillId="11" borderId="23" xfId="49" applyFont="1" applyFill="1" applyBorder="1" applyAlignment="1">
      <alignment horizontal="center"/>
      <protection/>
    </xf>
    <xf numFmtId="0" fontId="3" fillId="11" borderId="25" xfId="49" applyFont="1" applyFill="1" applyBorder="1" applyAlignment="1">
      <alignment horizontal="center"/>
      <protection/>
    </xf>
    <xf numFmtId="0" fontId="13" fillId="5" borderId="61" xfId="0" applyFont="1" applyFill="1" applyBorder="1" applyAlignment="1">
      <alignment horizontal="center" wrapText="1"/>
    </xf>
    <xf numFmtId="0" fontId="13" fillId="5" borderId="76" xfId="0" applyFont="1" applyFill="1" applyBorder="1" applyAlignment="1">
      <alignment horizontal="center" wrapText="1"/>
    </xf>
    <xf numFmtId="0" fontId="13" fillId="5" borderId="62" xfId="0" applyFont="1" applyFill="1" applyBorder="1" applyAlignment="1">
      <alignment horizontal="center" wrapText="1"/>
    </xf>
    <xf numFmtId="0" fontId="13" fillId="5" borderId="30" xfId="0" applyFont="1" applyFill="1" applyBorder="1" applyAlignment="1">
      <alignment horizontal="center" wrapText="1"/>
    </xf>
    <xf numFmtId="0" fontId="13" fillId="5" borderId="24" xfId="0" applyFont="1" applyFill="1" applyBorder="1" applyAlignment="1">
      <alignment horizontal="center" wrapText="1"/>
    </xf>
    <xf numFmtId="0" fontId="13" fillId="5" borderId="77" xfId="0" applyFont="1" applyFill="1" applyBorder="1" applyAlignment="1">
      <alignment horizontal="center" wrapText="1"/>
    </xf>
    <xf numFmtId="0" fontId="13" fillId="5" borderId="78" xfId="0" applyFont="1" applyFill="1" applyBorder="1" applyAlignment="1">
      <alignment horizontal="center" wrapText="1"/>
    </xf>
    <xf numFmtId="0" fontId="13" fillId="5" borderId="41" xfId="0" applyFont="1" applyFill="1" applyBorder="1" applyAlignment="1">
      <alignment horizontal="center" wrapText="1"/>
    </xf>
    <xf numFmtId="0" fontId="13" fillId="5" borderId="38" xfId="0" applyFont="1" applyFill="1" applyBorder="1" applyAlignment="1">
      <alignment horizontal="center" wrapText="1"/>
    </xf>
    <xf numFmtId="0" fontId="15" fillId="35" borderId="0" xfId="0" applyFont="1" applyFill="1" applyBorder="1" applyAlignment="1" applyProtection="1">
      <alignment horizontal="center"/>
      <protection hidden="1"/>
    </xf>
    <xf numFmtId="166" fontId="13" fillId="35" borderId="0" xfId="0" applyNumberFormat="1" applyFont="1" applyFill="1" applyBorder="1" applyAlignment="1">
      <alignment horizontal="center" wrapText="1"/>
    </xf>
    <xf numFmtId="0" fontId="11" fillId="7" borderId="62" xfId="0" applyFont="1" applyFill="1" applyBorder="1" applyAlignment="1" applyProtection="1">
      <alignment/>
      <protection hidden="1"/>
    </xf>
    <xf numFmtId="0" fontId="11" fillId="7" borderId="74" xfId="0" applyFont="1" applyFill="1" applyBorder="1" applyAlignment="1" applyProtection="1">
      <alignment/>
      <protection hidden="1"/>
    </xf>
    <xf numFmtId="0" fontId="11" fillId="7" borderId="63" xfId="0" applyFont="1" applyFill="1" applyBorder="1" applyAlignment="1" applyProtection="1">
      <alignment/>
      <protection hidden="1"/>
    </xf>
    <xf numFmtId="16" fontId="3" fillId="7" borderId="25" xfId="0" applyNumberFormat="1" applyFont="1" applyFill="1" applyBorder="1" applyAlignment="1" applyProtection="1">
      <alignment/>
      <protection hidden="1"/>
    </xf>
    <xf numFmtId="0" fontId="12" fillId="7" borderId="60" xfId="0" applyFont="1" applyFill="1" applyBorder="1" applyAlignment="1" applyProtection="1">
      <alignment/>
      <protection hidden="1"/>
    </xf>
    <xf numFmtId="0" fontId="11" fillId="7" borderId="0" xfId="0" applyFont="1" applyFill="1" applyBorder="1" applyAlignment="1" applyProtection="1">
      <alignment/>
      <protection hidden="1"/>
    </xf>
    <xf numFmtId="0" fontId="11" fillId="7" borderId="24" xfId="0" applyNumberFormat="1" applyFont="1" applyFill="1" applyBorder="1" applyAlignment="1" applyProtection="1">
      <alignment/>
      <protection hidden="1"/>
    </xf>
    <xf numFmtId="0" fontId="11" fillId="7" borderId="44" xfId="0" applyFont="1" applyFill="1" applyBorder="1" applyAlignment="1" applyProtection="1">
      <alignment/>
      <protection hidden="1"/>
    </xf>
    <xf numFmtId="3" fontId="11" fillId="7" borderId="50" xfId="0" applyNumberFormat="1" applyFont="1" applyFill="1" applyBorder="1" applyAlignment="1" applyProtection="1">
      <alignment/>
      <protection hidden="1"/>
    </xf>
    <xf numFmtId="3" fontId="11" fillId="7" borderId="24" xfId="0" applyNumberFormat="1" applyFont="1" applyFill="1" applyBorder="1" applyAlignment="1" applyProtection="1">
      <alignment/>
      <protection hidden="1"/>
    </xf>
    <xf numFmtId="0" fontId="11" fillId="7" borderId="45" xfId="0" applyFont="1" applyFill="1" applyBorder="1" applyAlignment="1" applyProtection="1">
      <alignment/>
      <protection hidden="1"/>
    </xf>
    <xf numFmtId="3" fontId="11" fillId="7" borderId="47" xfId="0" applyNumberFormat="1" applyFont="1" applyFill="1" applyBorder="1" applyAlignment="1" applyProtection="1">
      <alignment/>
      <protection hidden="1"/>
    </xf>
    <xf numFmtId="0" fontId="12" fillId="7" borderId="26" xfId="0" applyFont="1" applyFill="1" applyBorder="1" applyAlignment="1" applyProtection="1">
      <alignment/>
      <protection hidden="1"/>
    </xf>
    <xf numFmtId="3" fontId="11" fillId="7" borderId="27" xfId="0" applyNumberFormat="1" applyFont="1" applyFill="1" applyBorder="1" applyAlignment="1" applyProtection="1">
      <alignment/>
      <protection hidden="1"/>
    </xf>
    <xf numFmtId="0" fontId="12" fillId="7" borderId="23" xfId="0" applyNumberFormat="1" applyFont="1" applyFill="1" applyBorder="1" applyAlignment="1" applyProtection="1">
      <alignment horizontal="center"/>
      <protection hidden="1"/>
    </xf>
    <xf numFmtId="16" fontId="12" fillId="7" borderId="23" xfId="0" applyNumberFormat="1" applyFont="1" applyFill="1" applyBorder="1" applyAlignment="1" applyProtection="1">
      <alignment horizontal="center"/>
      <protection hidden="1"/>
    </xf>
    <xf numFmtId="16" fontId="12" fillId="7" borderId="49" xfId="0" applyNumberFormat="1" applyFont="1" applyFill="1" applyBorder="1" applyAlignment="1" applyProtection="1">
      <alignment horizontal="center" vertical="center"/>
      <protection hidden="1"/>
    </xf>
    <xf numFmtId="0" fontId="12" fillId="7" borderId="25" xfId="0" applyFont="1" applyFill="1" applyBorder="1" applyAlignment="1" applyProtection="1">
      <alignment horizontal="center"/>
      <protection hidden="1"/>
    </xf>
    <xf numFmtId="0" fontId="12" fillId="7" borderId="23" xfId="0" applyFont="1" applyFill="1" applyBorder="1" applyAlignment="1" applyProtection="1">
      <alignment horizontal="center"/>
      <protection hidden="1"/>
    </xf>
    <xf numFmtId="0" fontId="12" fillId="7" borderId="49" xfId="0" applyFont="1" applyFill="1" applyBorder="1" applyAlignment="1" applyProtection="1">
      <alignment horizontal="center"/>
      <protection hidden="1"/>
    </xf>
    <xf numFmtId="0" fontId="12" fillId="7" borderId="25" xfId="0" applyFont="1" applyFill="1" applyBorder="1" applyAlignment="1">
      <alignment horizontal="center"/>
    </xf>
    <xf numFmtId="3" fontId="12" fillId="7" borderId="24" xfId="0" applyNumberFormat="1" applyFont="1" applyFill="1" applyBorder="1" applyAlignment="1" applyProtection="1">
      <alignment/>
      <protection hidden="1"/>
    </xf>
    <xf numFmtId="3" fontId="12" fillId="7" borderId="47" xfId="0" applyNumberFormat="1" applyFont="1" applyFill="1" applyBorder="1" applyAlignment="1" applyProtection="1">
      <alignment/>
      <protection hidden="1"/>
    </xf>
    <xf numFmtId="3" fontId="12" fillId="7" borderId="27" xfId="0" applyNumberFormat="1" applyFont="1" applyFill="1" applyBorder="1" applyAlignment="1" applyProtection="1">
      <alignment/>
      <protection hidden="1"/>
    </xf>
    <xf numFmtId="3" fontId="15" fillId="5" borderId="79" xfId="0" applyNumberFormat="1" applyFont="1" applyFill="1" applyBorder="1" applyAlignment="1">
      <alignment horizontal="center" wrapText="1"/>
    </xf>
    <xf numFmtId="3" fontId="15" fillId="5" borderId="67" xfId="0" applyNumberFormat="1" applyFont="1" applyFill="1" applyBorder="1" applyAlignment="1">
      <alignment horizontal="center" wrapText="1"/>
    </xf>
    <xf numFmtId="3" fontId="15" fillId="5" borderId="26" xfId="0" applyNumberFormat="1" applyFont="1" applyFill="1" applyBorder="1" applyAlignment="1">
      <alignment horizontal="center" wrapText="1"/>
    </xf>
    <xf numFmtId="3" fontId="15" fillId="5" borderId="27" xfId="0" applyNumberFormat="1" applyFont="1" applyFill="1" applyBorder="1" applyAlignment="1">
      <alignment horizontal="center" wrapText="1"/>
    </xf>
    <xf numFmtId="0" fontId="15" fillId="5" borderId="80" xfId="0" applyFont="1" applyFill="1" applyBorder="1" applyAlignment="1">
      <alignment horizontal="center" wrapText="1"/>
    </xf>
    <xf numFmtId="0" fontId="15" fillId="5" borderId="81" xfId="0" applyFont="1" applyFill="1" applyBorder="1" applyAlignment="1">
      <alignment horizontal="center" wrapText="1"/>
    </xf>
    <xf numFmtId="0" fontId="53" fillId="5" borderId="41" xfId="0" applyFont="1" applyFill="1" applyBorder="1" applyAlignment="1">
      <alignment horizontal="center"/>
    </xf>
    <xf numFmtId="0" fontId="13" fillId="5" borderId="61" xfId="0" applyFont="1" applyFill="1" applyBorder="1" applyAlignment="1">
      <alignment horizontal="center"/>
    </xf>
    <xf numFmtId="0" fontId="53" fillId="5" borderId="19" xfId="0" applyFont="1" applyFill="1" applyBorder="1" applyAlignment="1">
      <alignment horizontal="center"/>
    </xf>
    <xf numFmtId="0" fontId="13" fillId="5" borderId="78" xfId="0" applyFont="1" applyFill="1" applyBorder="1" applyAlignment="1">
      <alignment horizontal="center"/>
    </xf>
    <xf numFmtId="0" fontId="13" fillId="5" borderId="82" xfId="0" applyFont="1" applyFill="1" applyBorder="1" applyAlignment="1">
      <alignment horizontal="center"/>
    </xf>
    <xf numFmtId="0" fontId="11" fillId="5" borderId="64" xfId="0" applyFont="1" applyFill="1" applyBorder="1" applyAlignment="1">
      <alignment horizontal="center"/>
    </xf>
    <xf numFmtId="0" fontId="13" fillId="5" borderId="39" xfId="0" applyFont="1" applyFill="1" applyBorder="1" applyAlignment="1" applyProtection="1">
      <alignment horizontal="center"/>
      <protection hidden="1"/>
    </xf>
    <xf numFmtId="0" fontId="13" fillId="5" borderId="48" xfId="0" applyFont="1" applyFill="1" applyBorder="1" applyAlignment="1">
      <alignment horizontal="center"/>
    </xf>
    <xf numFmtId="0" fontId="13" fillId="5" borderId="26" xfId="0" applyFont="1" applyFill="1" applyBorder="1" applyAlignment="1">
      <alignment horizontal="center"/>
    </xf>
    <xf numFmtId="0" fontId="13" fillId="5" borderId="39" xfId="0" applyFont="1" applyFill="1" applyBorder="1" applyAlignment="1">
      <alignment horizontal="center"/>
    </xf>
    <xf numFmtId="0" fontId="13" fillId="7" borderId="23" xfId="0" applyFont="1" applyFill="1" applyBorder="1" applyAlignment="1">
      <alignment horizontal="left"/>
    </xf>
    <xf numFmtId="0" fontId="7" fillId="7" borderId="62" xfId="0" applyFont="1" applyFill="1" applyBorder="1" applyAlignment="1">
      <alignment horizontal="left"/>
    </xf>
    <xf numFmtId="0" fontId="13" fillId="7" borderId="49" xfId="0" applyFont="1" applyFill="1" applyBorder="1" applyAlignment="1">
      <alignment horizontal="left"/>
    </xf>
    <xf numFmtId="0" fontId="7" fillId="7" borderId="63" xfId="0" applyFont="1" applyFill="1" applyBorder="1" applyAlignment="1">
      <alignment horizontal="left"/>
    </xf>
    <xf numFmtId="0" fontId="7" fillId="7" borderId="0" xfId="0" applyFont="1" applyFill="1" applyBorder="1" applyAlignment="1">
      <alignment horizontal="left"/>
    </xf>
    <xf numFmtId="0" fontId="7" fillId="7" borderId="45" xfId="0" applyFont="1" applyFill="1" applyBorder="1" applyAlignment="1">
      <alignment horizontal="left"/>
    </xf>
    <xf numFmtId="16" fontId="40" fillId="34" borderId="23" xfId="52" applyNumberFormat="1" applyFont="1" applyFill="1" applyBorder="1" applyProtection="1" quotePrefix="1">
      <alignment/>
      <protection hidden="1"/>
    </xf>
    <xf numFmtId="0" fontId="37" fillId="34" borderId="62" xfId="52" applyNumberFormat="1" applyFont="1" applyFill="1" applyBorder="1" applyProtection="1">
      <alignment/>
      <protection hidden="1"/>
    </xf>
    <xf numFmtId="16" fontId="40" fillId="34" borderId="49" xfId="52" applyNumberFormat="1" applyFont="1" applyFill="1" applyBorder="1" applyProtection="1" quotePrefix="1">
      <alignment/>
      <protection hidden="1"/>
    </xf>
    <xf numFmtId="0" fontId="26" fillId="34" borderId="63" xfId="52" applyFont="1" applyFill="1" applyBorder="1" applyAlignment="1">
      <alignment horizontal="left"/>
      <protection/>
    </xf>
    <xf numFmtId="16" fontId="40" fillId="34" borderId="25" xfId="52" applyNumberFormat="1" applyFont="1" applyFill="1" applyBorder="1" applyProtection="1">
      <alignment/>
      <protection hidden="1"/>
    </xf>
    <xf numFmtId="0" fontId="38" fillId="34" borderId="60" xfId="52" applyFont="1" applyFill="1" applyBorder="1" applyProtection="1">
      <alignment/>
      <protection hidden="1"/>
    </xf>
    <xf numFmtId="16" fontId="40" fillId="34" borderId="23" xfId="52" applyNumberFormat="1" applyFont="1" applyFill="1" applyBorder="1" applyProtection="1">
      <alignment/>
      <protection hidden="1"/>
    </xf>
    <xf numFmtId="0" fontId="37" fillId="34" borderId="0" xfId="52" applyNumberFormat="1" applyFont="1" applyFill="1" applyBorder="1" applyProtection="1">
      <alignment/>
      <protection hidden="1"/>
    </xf>
    <xf numFmtId="3" fontId="37" fillId="34" borderId="24" xfId="52" applyNumberFormat="1" applyFont="1" applyFill="1" applyBorder="1" applyProtection="1">
      <alignment/>
      <protection hidden="1"/>
    </xf>
    <xf numFmtId="16" fontId="40" fillId="34" borderId="49" xfId="52" applyNumberFormat="1" applyFont="1" applyFill="1" applyBorder="1" applyProtection="1">
      <alignment/>
      <protection hidden="1"/>
    </xf>
    <xf numFmtId="0" fontId="26" fillId="34" borderId="45" xfId="52" applyFont="1" applyFill="1" applyBorder="1" applyAlignment="1">
      <alignment horizontal="left"/>
      <protection/>
    </xf>
    <xf numFmtId="3" fontId="37" fillId="34" borderId="47" xfId="52" applyNumberFormat="1" applyFont="1" applyFill="1" applyBorder="1" applyProtection="1">
      <alignment/>
      <protection hidden="1"/>
    </xf>
    <xf numFmtId="0" fontId="38" fillId="34" borderId="26" xfId="52" applyFont="1" applyFill="1" applyBorder="1" applyProtection="1">
      <alignment/>
      <protection hidden="1"/>
    </xf>
    <xf numFmtId="3" fontId="37" fillId="34" borderId="27" xfId="52" applyNumberFormat="1" applyFont="1" applyFill="1" applyBorder="1" applyProtection="1">
      <alignment/>
      <protection hidden="1"/>
    </xf>
    <xf numFmtId="0" fontId="26" fillId="34" borderId="23" xfId="52" applyFont="1" applyFill="1" applyBorder="1" applyAlignment="1">
      <alignment horizontal="left"/>
      <protection/>
    </xf>
    <xf numFmtId="0" fontId="26" fillId="34" borderId="49" xfId="52" applyFont="1" applyFill="1" applyBorder="1" applyAlignment="1">
      <alignment horizontal="left"/>
      <protection/>
    </xf>
    <xf numFmtId="0" fontId="39" fillId="34" borderId="24" xfId="52" applyFont="1" applyFill="1" applyBorder="1" applyProtection="1">
      <alignment/>
      <protection hidden="1"/>
    </xf>
    <xf numFmtId="0" fontId="39" fillId="34" borderId="47" xfId="52" applyFont="1" applyFill="1" applyBorder="1" applyProtection="1">
      <alignment/>
      <protection hidden="1"/>
    </xf>
    <xf numFmtId="0" fontId="25" fillId="5" borderId="55" xfId="52" applyFont="1" applyFill="1" applyBorder="1" applyAlignment="1">
      <alignment horizontal="center"/>
      <protection/>
    </xf>
    <xf numFmtId="0" fontId="25" fillId="5" borderId="22" xfId="52" applyFont="1" applyFill="1" applyBorder="1">
      <alignment/>
      <protection/>
    </xf>
    <xf numFmtId="3" fontId="40" fillId="37" borderId="0" xfId="0" applyNumberFormat="1" applyFont="1" applyFill="1" applyBorder="1" applyAlignment="1" applyProtection="1">
      <alignment/>
      <protection locked="0"/>
    </xf>
    <xf numFmtId="3" fontId="40" fillId="37" borderId="24" xfId="0" applyNumberFormat="1" applyFont="1" applyFill="1" applyBorder="1" applyAlignment="1" applyProtection="1">
      <alignment/>
      <protection locked="0"/>
    </xf>
    <xf numFmtId="3" fontId="40" fillId="37" borderId="45" xfId="0" applyNumberFormat="1" applyFont="1" applyFill="1" applyBorder="1" applyAlignment="1" applyProtection="1">
      <alignment/>
      <protection locked="0"/>
    </xf>
    <xf numFmtId="3" fontId="40" fillId="37" borderId="47" xfId="0" applyNumberFormat="1" applyFont="1" applyFill="1" applyBorder="1" applyAlignment="1" applyProtection="1">
      <alignment/>
      <protection locked="0"/>
    </xf>
    <xf numFmtId="0" fontId="40" fillId="34" borderId="23" xfId="0" applyNumberFormat="1" applyFont="1" applyFill="1" applyBorder="1" applyAlignment="1" applyProtection="1">
      <alignment/>
      <protection hidden="1"/>
    </xf>
    <xf numFmtId="0" fontId="37" fillId="34" borderId="0" xfId="0" applyFont="1" applyFill="1" applyBorder="1" applyAlignment="1" applyProtection="1">
      <alignment/>
      <protection hidden="1"/>
    </xf>
    <xf numFmtId="0" fontId="37" fillId="34" borderId="24" xfId="0" applyNumberFormat="1" applyFont="1" applyFill="1" applyBorder="1" applyAlignment="1" applyProtection="1">
      <alignment/>
      <protection hidden="1"/>
    </xf>
    <xf numFmtId="16" fontId="40" fillId="34" borderId="23" xfId="0" applyNumberFormat="1" applyFont="1" applyFill="1" applyBorder="1" applyAlignment="1" applyProtection="1">
      <alignment/>
      <protection hidden="1"/>
    </xf>
    <xf numFmtId="0" fontId="26" fillId="34" borderId="0" xfId="0" applyFont="1" applyFill="1" applyBorder="1" applyAlignment="1" applyProtection="1">
      <alignment/>
      <protection hidden="1"/>
    </xf>
    <xf numFmtId="3" fontId="37" fillId="34" borderId="24" xfId="0" applyNumberFormat="1" applyFont="1" applyFill="1" applyBorder="1" applyAlignment="1" applyProtection="1">
      <alignment/>
      <protection hidden="1"/>
    </xf>
    <xf numFmtId="16" fontId="40" fillId="34" borderId="49" xfId="0" applyNumberFormat="1" applyFont="1" applyFill="1" applyBorder="1" applyAlignment="1" applyProtection="1">
      <alignment/>
      <protection hidden="1"/>
    </xf>
    <xf numFmtId="0" fontId="37" fillId="34" borderId="45" xfId="0" applyNumberFormat="1" applyFont="1" applyFill="1" applyBorder="1" applyAlignment="1" applyProtection="1">
      <alignment/>
      <protection hidden="1"/>
    </xf>
    <xf numFmtId="3" fontId="37" fillId="34" borderId="47" xfId="0" applyNumberFormat="1" applyFont="1" applyFill="1" applyBorder="1" applyAlignment="1" applyProtection="1">
      <alignment/>
      <protection hidden="1"/>
    </xf>
    <xf numFmtId="16" fontId="40" fillId="34" borderId="25" xfId="0" applyNumberFormat="1" applyFont="1" applyFill="1" applyBorder="1" applyAlignment="1" applyProtection="1">
      <alignment/>
      <protection hidden="1"/>
    </xf>
    <xf numFmtId="0" fontId="38" fillId="34" borderId="26" xfId="0" applyFont="1" applyFill="1" applyBorder="1" applyAlignment="1" applyProtection="1">
      <alignment/>
      <protection hidden="1"/>
    </xf>
    <xf numFmtId="3" fontId="37" fillId="34" borderId="27" xfId="0" applyNumberFormat="1" applyFont="1" applyFill="1" applyBorder="1" applyAlignment="1" applyProtection="1">
      <alignment/>
      <protection hidden="1"/>
    </xf>
    <xf numFmtId="0" fontId="37" fillId="34" borderId="22" xfId="0" applyNumberFormat="1" applyFont="1" applyFill="1" applyBorder="1" applyAlignment="1" applyProtection="1">
      <alignment/>
      <protection hidden="1"/>
    </xf>
    <xf numFmtId="0" fontId="37" fillId="34" borderId="62" xfId="0" applyFont="1" applyFill="1" applyBorder="1" applyAlignment="1" applyProtection="1">
      <alignment/>
      <protection hidden="1"/>
    </xf>
    <xf numFmtId="16" fontId="40" fillId="34" borderId="23" xfId="0" applyNumberFormat="1" applyFont="1" applyFill="1" applyBorder="1" applyAlignment="1" applyProtection="1" quotePrefix="1">
      <alignment/>
      <protection hidden="1"/>
    </xf>
    <xf numFmtId="0" fontId="26" fillId="34" borderId="62" xfId="0" applyFont="1" applyFill="1" applyBorder="1" applyAlignment="1" applyProtection="1">
      <alignment/>
      <protection hidden="1"/>
    </xf>
    <xf numFmtId="16" fontId="40" fillId="34" borderId="49" xfId="0" applyNumberFormat="1" applyFont="1" applyFill="1" applyBorder="1" applyAlignment="1" applyProtection="1" quotePrefix="1">
      <alignment/>
      <protection hidden="1"/>
    </xf>
    <xf numFmtId="0" fontId="37" fillId="34" borderId="63" xfId="0" applyNumberFormat="1" applyFont="1" applyFill="1" applyBorder="1" applyAlignment="1" applyProtection="1">
      <alignment/>
      <protection hidden="1"/>
    </xf>
    <xf numFmtId="0" fontId="38" fillId="34" borderId="60" xfId="0" applyFont="1" applyFill="1" applyBorder="1" applyAlignment="1" applyProtection="1">
      <alignment/>
      <protection hidden="1"/>
    </xf>
    <xf numFmtId="0" fontId="40" fillId="34" borderId="20" xfId="0" applyFont="1" applyFill="1" applyBorder="1" applyAlignment="1" applyProtection="1">
      <alignment/>
      <protection hidden="1"/>
    </xf>
    <xf numFmtId="0" fontId="38" fillId="34" borderId="83" xfId="0" applyFont="1" applyFill="1" applyBorder="1" applyAlignment="1" applyProtection="1">
      <alignment/>
      <protection hidden="1"/>
    </xf>
    <xf numFmtId="0" fontId="40" fillId="34" borderId="43" xfId="0" applyFont="1" applyFill="1" applyBorder="1" applyAlignment="1" applyProtection="1">
      <alignment/>
      <protection hidden="1"/>
    </xf>
    <xf numFmtId="0" fontId="37" fillId="34" borderId="74" xfId="0" applyFont="1" applyFill="1" applyBorder="1" applyAlignment="1" applyProtection="1">
      <alignment/>
      <protection hidden="1"/>
    </xf>
    <xf numFmtId="0" fontId="40" fillId="34" borderId="23" xfId="0" applyFont="1" applyFill="1" applyBorder="1" applyAlignment="1" applyProtection="1">
      <alignment/>
      <protection hidden="1"/>
    </xf>
    <xf numFmtId="0" fontId="40" fillId="34" borderId="49" xfId="0" applyFont="1" applyFill="1" applyBorder="1" applyAlignment="1" applyProtection="1">
      <alignment/>
      <protection hidden="1"/>
    </xf>
    <xf numFmtId="0" fontId="37" fillId="34" borderId="63" xfId="0" applyFont="1" applyFill="1" applyBorder="1" applyAlignment="1" applyProtection="1">
      <alignment/>
      <protection hidden="1"/>
    </xf>
    <xf numFmtId="0" fontId="40" fillId="34" borderId="25" xfId="0" applyFont="1" applyFill="1" applyBorder="1" applyAlignment="1" applyProtection="1">
      <alignment/>
      <protection hidden="1"/>
    </xf>
    <xf numFmtId="0" fontId="38" fillId="34" borderId="21" xfId="0" applyFont="1" applyFill="1" applyBorder="1" applyAlignment="1" applyProtection="1">
      <alignment/>
      <protection hidden="1"/>
    </xf>
    <xf numFmtId="3" fontId="39" fillId="34" borderId="22" xfId="0" applyNumberFormat="1" applyFont="1" applyFill="1" applyBorder="1" applyAlignment="1" applyProtection="1">
      <alignment horizontal="center"/>
      <protection hidden="1"/>
    </xf>
    <xf numFmtId="0" fontId="37" fillId="34" borderId="44" xfId="0" applyFont="1" applyFill="1" applyBorder="1" applyAlignment="1" applyProtection="1">
      <alignment/>
      <protection hidden="1"/>
    </xf>
    <xf numFmtId="3" fontId="40" fillId="34" borderId="50" xfId="0" applyNumberFormat="1" applyFont="1" applyFill="1" applyBorder="1" applyAlignment="1" applyProtection="1">
      <alignment horizontal="center"/>
      <protection hidden="1"/>
    </xf>
    <xf numFmtId="3" fontId="40" fillId="34" borderId="24" xfId="0" applyNumberFormat="1" applyFont="1" applyFill="1" applyBorder="1" applyAlignment="1" applyProtection="1">
      <alignment horizontal="center"/>
      <protection hidden="1"/>
    </xf>
    <xf numFmtId="0" fontId="37" fillId="34" borderId="45" xfId="0" applyFont="1" applyFill="1" applyBorder="1" applyAlignment="1" applyProtection="1">
      <alignment/>
      <protection hidden="1"/>
    </xf>
    <xf numFmtId="3" fontId="40" fillId="34" borderId="47" xfId="0" applyNumberFormat="1" applyFont="1" applyFill="1" applyBorder="1" applyAlignment="1" applyProtection="1">
      <alignment horizontal="center"/>
      <protection hidden="1"/>
    </xf>
    <xf numFmtId="3" fontId="39" fillId="34" borderId="27" xfId="0" applyNumberFormat="1" applyFont="1" applyFill="1" applyBorder="1" applyAlignment="1" applyProtection="1">
      <alignment horizontal="center"/>
      <protection hidden="1"/>
    </xf>
    <xf numFmtId="0" fontId="40" fillId="34" borderId="27" xfId="0" applyFont="1" applyFill="1" applyBorder="1" applyAlignment="1">
      <alignment horizontal="center"/>
    </xf>
    <xf numFmtId="0" fontId="40" fillId="34" borderId="20" xfId="0" applyFont="1" applyFill="1" applyBorder="1" applyAlignment="1">
      <alignment/>
    </xf>
    <xf numFmtId="0" fontId="40" fillId="34" borderId="23" xfId="0" applyFont="1" applyFill="1" applyBorder="1" applyAlignment="1">
      <alignment/>
    </xf>
    <xf numFmtId="0" fontId="40" fillId="34" borderId="49" xfId="0" applyFont="1" applyFill="1" applyBorder="1" applyAlignment="1">
      <alignment/>
    </xf>
    <xf numFmtId="0" fontId="39" fillId="34" borderId="60" xfId="0" applyFont="1" applyFill="1" applyBorder="1" applyAlignment="1">
      <alignment/>
    </xf>
    <xf numFmtId="0" fontId="37" fillId="34" borderId="20" xfId="0" applyFont="1" applyFill="1" applyBorder="1" applyAlignment="1" applyProtection="1">
      <alignment/>
      <protection hidden="1"/>
    </xf>
    <xf numFmtId="0" fontId="37" fillId="34" borderId="21" xfId="0" applyFont="1" applyFill="1" applyBorder="1" applyAlignment="1" applyProtection="1">
      <alignment/>
      <protection hidden="1"/>
    </xf>
    <xf numFmtId="168" fontId="37" fillId="34" borderId="21" xfId="0" applyNumberFormat="1" applyFont="1" applyFill="1" applyBorder="1" applyAlignment="1">
      <alignment horizontal="right"/>
    </xf>
    <xf numFmtId="168" fontId="37" fillId="34" borderId="83" xfId="0" applyNumberFormat="1" applyFont="1" applyFill="1" applyBorder="1" applyAlignment="1">
      <alignment horizontal="right"/>
    </xf>
    <xf numFmtId="0" fontId="37" fillId="34" borderId="23" xfId="0" applyFont="1" applyFill="1" applyBorder="1" applyAlignment="1" applyProtection="1">
      <alignment/>
      <protection hidden="1"/>
    </xf>
    <xf numFmtId="168" fontId="37" fillId="34" borderId="0" xfId="0" applyNumberFormat="1" applyFont="1" applyFill="1" applyBorder="1" applyAlignment="1">
      <alignment horizontal="right"/>
    </xf>
    <xf numFmtId="168" fontId="37" fillId="34" borderId="62" xfId="0" applyNumberFormat="1" applyFont="1" applyFill="1" applyBorder="1" applyAlignment="1">
      <alignment horizontal="right"/>
    </xf>
    <xf numFmtId="168" fontId="37" fillId="34" borderId="0" xfId="0" applyNumberFormat="1" applyFont="1" applyFill="1" applyBorder="1" applyAlignment="1" applyProtection="1">
      <alignment horizontal="right"/>
      <protection hidden="1"/>
    </xf>
    <xf numFmtId="168" fontId="37" fillId="34" borderId="62" xfId="0" applyNumberFormat="1" applyFont="1" applyFill="1" applyBorder="1" applyAlignment="1" applyProtection="1">
      <alignment horizontal="right"/>
      <protection hidden="1"/>
    </xf>
    <xf numFmtId="0" fontId="38" fillId="34" borderId="70" xfId="0" applyFont="1" applyFill="1" applyBorder="1" applyAlignment="1" applyProtection="1">
      <alignment/>
      <protection hidden="1"/>
    </xf>
    <xf numFmtId="0" fontId="38" fillId="34" borderId="32" xfId="0" applyFont="1" applyFill="1" applyBorder="1" applyAlignment="1" applyProtection="1">
      <alignment/>
      <protection hidden="1"/>
    </xf>
    <xf numFmtId="168" fontId="38" fillId="34" borderId="32" xfId="0" applyNumberFormat="1" applyFont="1" applyFill="1" applyBorder="1" applyAlignment="1" applyProtection="1">
      <alignment horizontal="right"/>
      <protection hidden="1"/>
    </xf>
    <xf numFmtId="168" fontId="38" fillId="34" borderId="31" xfId="0" applyNumberFormat="1" applyFont="1" applyFill="1" applyBorder="1" applyAlignment="1" applyProtection="1">
      <alignment horizontal="right"/>
      <protection hidden="1"/>
    </xf>
    <xf numFmtId="176" fontId="37" fillId="34" borderId="25" xfId="0" applyNumberFormat="1" applyFont="1" applyFill="1" applyBorder="1" applyAlignment="1" applyProtection="1">
      <alignment horizontal="left"/>
      <protection hidden="1"/>
    </xf>
    <xf numFmtId="179" fontId="37" fillId="34" borderId="26" xfId="0" applyNumberFormat="1" applyFont="1" applyFill="1" applyBorder="1" applyAlignment="1" applyProtection="1">
      <alignment horizontal="left"/>
      <protection hidden="1"/>
    </xf>
    <xf numFmtId="168" fontId="37" fillId="34" borderId="26" xfId="0" applyNumberFormat="1" applyFont="1" applyFill="1" applyBorder="1" applyAlignment="1" applyProtection="1">
      <alignment horizontal="right"/>
      <protection hidden="1"/>
    </xf>
    <xf numFmtId="168" fontId="37" fillId="34" borderId="60" xfId="0" applyNumberFormat="1" applyFont="1" applyFill="1" applyBorder="1" applyAlignment="1" applyProtection="1">
      <alignment horizontal="right"/>
      <protection hidden="1"/>
    </xf>
    <xf numFmtId="0" fontId="38" fillId="34" borderId="25" xfId="0" applyFont="1" applyFill="1" applyBorder="1" applyAlignment="1" applyProtection="1">
      <alignment/>
      <protection hidden="1"/>
    </xf>
    <xf numFmtId="168" fontId="38" fillId="34" borderId="26" xfId="0" applyNumberFormat="1" applyFont="1" applyFill="1" applyBorder="1" applyAlignment="1" applyProtection="1">
      <alignment horizontal="right"/>
      <protection hidden="1"/>
    </xf>
    <xf numFmtId="168" fontId="38" fillId="34" borderId="60" xfId="0" applyNumberFormat="1" applyFont="1" applyFill="1" applyBorder="1" applyAlignment="1" applyProtection="1">
      <alignment horizontal="right"/>
      <protection hidden="1"/>
    </xf>
    <xf numFmtId="0" fontId="37" fillId="5" borderId="23" xfId="0" applyFont="1" applyFill="1" applyBorder="1" applyAlignment="1" applyProtection="1">
      <alignment/>
      <protection hidden="1"/>
    </xf>
    <xf numFmtId="0" fontId="37" fillId="5" borderId="0" xfId="0" applyFont="1" applyFill="1" applyBorder="1" applyAlignment="1" applyProtection="1">
      <alignment/>
      <protection hidden="1"/>
    </xf>
    <xf numFmtId="0" fontId="38" fillId="5" borderId="70" xfId="0" applyFont="1" applyFill="1" applyBorder="1" applyAlignment="1" applyProtection="1">
      <alignment/>
      <protection hidden="1"/>
    </xf>
    <xf numFmtId="0" fontId="38" fillId="5" borderId="32" xfId="0" applyFont="1" applyFill="1" applyBorder="1" applyAlignment="1" applyProtection="1">
      <alignment/>
      <protection hidden="1"/>
    </xf>
    <xf numFmtId="176" fontId="37" fillId="5" borderId="23" xfId="0" applyNumberFormat="1" applyFont="1" applyFill="1" applyBorder="1" applyAlignment="1" applyProtection="1">
      <alignment horizontal="left"/>
      <protection hidden="1"/>
    </xf>
    <xf numFmtId="0" fontId="38" fillId="5" borderId="51" xfId="0" applyFont="1" applyFill="1" applyBorder="1" applyAlignment="1" applyProtection="1">
      <alignment/>
      <protection hidden="1"/>
    </xf>
    <xf numFmtId="0" fontId="37" fillId="5" borderId="20" xfId="0" applyFont="1" applyFill="1" applyBorder="1" applyAlignment="1" applyProtection="1">
      <alignment/>
      <protection hidden="1"/>
    </xf>
    <xf numFmtId="0" fontId="37" fillId="5" borderId="21" xfId="0" applyFont="1" applyFill="1" applyBorder="1" applyAlignment="1" applyProtection="1">
      <alignment/>
      <protection hidden="1"/>
    </xf>
    <xf numFmtId="168" fontId="37" fillId="5" borderId="21" xfId="0" applyNumberFormat="1" applyFont="1" applyFill="1" applyBorder="1" applyAlignment="1">
      <alignment horizontal="right"/>
    </xf>
    <xf numFmtId="168" fontId="37" fillId="5" borderId="22" xfId="0" applyNumberFormat="1" applyFont="1" applyFill="1" applyBorder="1" applyAlignment="1">
      <alignment horizontal="right"/>
    </xf>
    <xf numFmtId="168" fontId="37" fillId="5" borderId="0" xfId="0" applyNumberFormat="1" applyFont="1" applyFill="1" applyBorder="1" applyAlignment="1">
      <alignment horizontal="right"/>
    </xf>
    <xf numFmtId="168" fontId="37" fillId="5" borderId="24" xfId="0" applyNumberFormat="1" applyFont="1" applyFill="1" applyBorder="1" applyAlignment="1">
      <alignment horizontal="right"/>
    </xf>
    <xf numFmtId="168" fontId="37" fillId="5" borderId="0" xfId="0" applyNumberFormat="1" applyFont="1" applyFill="1" applyBorder="1" applyAlignment="1" applyProtection="1">
      <alignment horizontal="right"/>
      <protection hidden="1"/>
    </xf>
    <xf numFmtId="0" fontId="38" fillId="5" borderId="84" xfId="0" applyFont="1" applyFill="1" applyBorder="1" applyAlignment="1" applyProtection="1">
      <alignment/>
      <protection hidden="1"/>
    </xf>
    <xf numFmtId="168" fontId="38" fillId="5" borderId="32" xfId="0" applyNumberFormat="1" applyFont="1" applyFill="1" applyBorder="1" applyAlignment="1" applyProtection="1">
      <alignment horizontal="right"/>
      <protection hidden="1"/>
    </xf>
    <xf numFmtId="168" fontId="38" fillId="5" borderId="33" xfId="0" applyNumberFormat="1" applyFont="1" applyFill="1" applyBorder="1" applyAlignment="1">
      <alignment horizontal="right"/>
    </xf>
    <xf numFmtId="176" fontId="37" fillId="5" borderId="25" xfId="0" applyNumberFormat="1" applyFont="1" applyFill="1" applyBorder="1" applyAlignment="1" applyProtection="1">
      <alignment horizontal="left"/>
      <protection hidden="1"/>
    </xf>
    <xf numFmtId="179" fontId="37" fillId="5" borderId="26" xfId="0" applyNumberFormat="1" applyFont="1" applyFill="1" applyBorder="1" applyAlignment="1" applyProtection="1">
      <alignment horizontal="left"/>
      <protection hidden="1"/>
    </xf>
    <xf numFmtId="168" fontId="37" fillId="5" borderId="26" xfId="0" applyNumberFormat="1" applyFont="1" applyFill="1" applyBorder="1" applyAlignment="1" applyProtection="1">
      <alignment horizontal="right"/>
      <protection hidden="1"/>
    </xf>
    <xf numFmtId="168" fontId="37" fillId="5" borderId="27" xfId="0" applyNumberFormat="1" applyFont="1" applyFill="1" applyBorder="1" applyAlignment="1" applyProtection="1">
      <alignment horizontal="right"/>
      <protection hidden="1"/>
    </xf>
    <xf numFmtId="0" fontId="38" fillId="5" borderId="25" xfId="0" applyFont="1" applyFill="1" applyBorder="1" applyAlignment="1" applyProtection="1">
      <alignment/>
      <protection hidden="1"/>
    </xf>
    <xf numFmtId="0" fontId="38" fillId="5" borderId="26" xfId="0" applyFont="1" applyFill="1" applyBorder="1" applyAlignment="1" applyProtection="1">
      <alignment/>
      <protection hidden="1"/>
    </xf>
    <xf numFmtId="168" fontId="38" fillId="5" borderId="26" xfId="0" applyNumberFormat="1" applyFont="1" applyFill="1" applyBorder="1" applyAlignment="1" applyProtection="1">
      <alignment horizontal="right"/>
      <protection hidden="1"/>
    </xf>
    <xf numFmtId="168" fontId="38" fillId="5" borderId="27" xfId="0" applyNumberFormat="1" applyFont="1" applyFill="1" applyBorder="1" applyAlignment="1" applyProtection="1">
      <alignment horizontal="right"/>
      <protection hidden="1"/>
    </xf>
    <xf numFmtId="2" fontId="39" fillId="7" borderId="23" xfId="0" applyNumberFormat="1" applyFont="1" applyFill="1" applyBorder="1" applyAlignment="1" applyProtection="1">
      <alignment horizontal="center"/>
      <protection hidden="1"/>
    </xf>
    <xf numFmtId="2" fontId="39" fillId="7" borderId="23" xfId="0" applyNumberFormat="1" applyFont="1" applyFill="1" applyBorder="1" applyAlignment="1" applyProtection="1" quotePrefix="1">
      <alignment horizontal="center"/>
      <protection hidden="1"/>
    </xf>
    <xf numFmtId="0" fontId="26" fillId="7" borderId="62" xfId="0" applyFont="1" applyFill="1" applyBorder="1" applyAlignment="1" applyProtection="1">
      <alignment/>
      <protection hidden="1"/>
    </xf>
    <xf numFmtId="2" fontId="39" fillId="7" borderId="49" xfId="0" applyNumberFormat="1" applyFont="1" applyFill="1" applyBorder="1" applyAlignment="1" applyProtection="1" quotePrefix="1">
      <alignment horizontal="center"/>
      <protection hidden="1"/>
    </xf>
    <xf numFmtId="0" fontId="37" fillId="7" borderId="63" xfId="0" applyNumberFormat="1" applyFont="1" applyFill="1" applyBorder="1" applyAlignment="1" applyProtection="1">
      <alignment/>
      <protection hidden="1"/>
    </xf>
    <xf numFmtId="16" fontId="40" fillId="7" borderId="25" xfId="0" applyNumberFormat="1" applyFont="1" applyFill="1" applyBorder="1" applyAlignment="1" applyProtection="1">
      <alignment/>
      <protection hidden="1"/>
    </xf>
    <xf numFmtId="0" fontId="38" fillId="7" borderId="60" xfId="0" applyFont="1" applyFill="1" applyBorder="1" applyAlignment="1" applyProtection="1">
      <alignment/>
      <protection hidden="1"/>
    </xf>
    <xf numFmtId="0" fontId="37" fillId="7" borderId="0" xfId="0" applyFont="1" applyFill="1" applyBorder="1" applyAlignment="1" applyProtection="1">
      <alignment/>
      <protection hidden="1"/>
    </xf>
    <xf numFmtId="0" fontId="37" fillId="7" borderId="24" xfId="0" applyNumberFormat="1" applyFont="1" applyFill="1" applyBorder="1" applyAlignment="1" applyProtection="1">
      <alignment/>
      <protection hidden="1"/>
    </xf>
    <xf numFmtId="0" fontId="26" fillId="7" borderId="0" xfId="0" applyFont="1" applyFill="1" applyBorder="1" applyAlignment="1" applyProtection="1">
      <alignment/>
      <protection hidden="1"/>
    </xf>
    <xf numFmtId="3" fontId="37" fillId="7" borderId="24" xfId="0" applyNumberFormat="1" applyFont="1" applyFill="1" applyBorder="1" applyAlignment="1" applyProtection="1">
      <alignment/>
      <protection hidden="1"/>
    </xf>
    <xf numFmtId="0" fontId="37" fillId="7" borderId="45" xfId="0" applyNumberFormat="1" applyFont="1" applyFill="1" applyBorder="1" applyAlignment="1" applyProtection="1">
      <alignment/>
      <protection hidden="1"/>
    </xf>
    <xf numFmtId="3" fontId="37" fillId="7" borderId="47" xfId="0" applyNumberFormat="1" applyFont="1" applyFill="1" applyBorder="1" applyAlignment="1" applyProtection="1">
      <alignment/>
      <protection hidden="1"/>
    </xf>
    <xf numFmtId="0" fontId="38" fillId="7" borderId="26" xfId="0" applyFont="1" applyFill="1" applyBorder="1" applyAlignment="1" applyProtection="1">
      <alignment/>
      <protection hidden="1"/>
    </xf>
    <xf numFmtId="3" fontId="37" fillId="7" borderId="27" xfId="0" applyNumberFormat="1" applyFont="1" applyFill="1" applyBorder="1" applyAlignment="1" applyProtection="1">
      <alignment/>
      <protection hidden="1"/>
    </xf>
    <xf numFmtId="0" fontId="3" fillId="4" borderId="23" xfId="0" applyNumberFormat="1" applyFont="1" applyFill="1" applyBorder="1" applyAlignment="1" applyProtection="1">
      <alignment/>
      <protection hidden="1"/>
    </xf>
    <xf numFmtId="0" fontId="11" fillId="4" borderId="62" xfId="0" applyFont="1" applyFill="1" applyBorder="1" applyAlignment="1" applyProtection="1">
      <alignment/>
      <protection hidden="1"/>
    </xf>
    <xf numFmtId="16" fontId="3" fillId="4" borderId="49" xfId="0" applyNumberFormat="1" applyFont="1" applyFill="1" applyBorder="1" applyAlignment="1" applyProtection="1" quotePrefix="1">
      <alignment/>
      <protection hidden="1"/>
    </xf>
    <xf numFmtId="0" fontId="11" fillId="4" borderId="63" xfId="0" applyFont="1" applyFill="1" applyBorder="1" applyAlignment="1" applyProtection="1">
      <alignment/>
      <protection hidden="1"/>
    </xf>
    <xf numFmtId="16" fontId="3" fillId="4" borderId="25" xfId="0" applyNumberFormat="1" applyFont="1" applyFill="1" applyBorder="1" applyAlignment="1" applyProtection="1">
      <alignment/>
      <protection hidden="1"/>
    </xf>
    <xf numFmtId="0" fontId="12" fillId="4" borderId="60" xfId="0" applyFont="1" applyFill="1" applyBorder="1" applyAlignment="1" applyProtection="1">
      <alignment/>
      <protection hidden="1"/>
    </xf>
    <xf numFmtId="0" fontId="11" fillId="4" borderId="0" xfId="0" applyFont="1" applyFill="1" applyBorder="1" applyAlignment="1" applyProtection="1">
      <alignment/>
      <protection hidden="1"/>
    </xf>
    <xf numFmtId="0" fontId="11" fillId="4" borderId="24" xfId="0" applyNumberFormat="1" applyFont="1" applyFill="1" applyBorder="1" applyAlignment="1" applyProtection="1">
      <alignment/>
      <protection hidden="1"/>
    </xf>
    <xf numFmtId="16" fontId="3" fillId="4" borderId="49" xfId="0" applyNumberFormat="1" applyFont="1" applyFill="1" applyBorder="1" applyAlignment="1" applyProtection="1">
      <alignment/>
      <protection hidden="1"/>
    </xf>
    <xf numFmtId="0" fontId="11" fillId="4" borderId="45" xfId="0" applyFont="1" applyFill="1" applyBorder="1" applyAlignment="1" applyProtection="1">
      <alignment/>
      <protection hidden="1"/>
    </xf>
    <xf numFmtId="3" fontId="11" fillId="4" borderId="47" xfId="0" applyNumberFormat="1" applyFont="1" applyFill="1" applyBorder="1" applyAlignment="1" applyProtection="1">
      <alignment/>
      <protection hidden="1"/>
    </xf>
    <xf numFmtId="0" fontId="12" fillId="4" borderId="26" xfId="0" applyFont="1" applyFill="1" applyBorder="1" applyAlignment="1" applyProtection="1">
      <alignment/>
      <protection hidden="1"/>
    </xf>
    <xf numFmtId="3" fontId="11" fillId="4" borderId="27" xfId="0" applyNumberFormat="1" applyFont="1" applyFill="1" applyBorder="1" applyAlignment="1" applyProtection="1">
      <alignment/>
      <protection hidden="1"/>
    </xf>
    <xf numFmtId="0" fontId="3" fillId="4" borderId="70" xfId="0" applyNumberFormat="1" applyFont="1" applyFill="1" applyBorder="1" applyAlignment="1" applyProtection="1">
      <alignment horizontal="center" wrapText="1"/>
      <protection hidden="1"/>
    </xf>
    <xf numFmtId="0" fontId="11" fillId="4" borderId="47" xfId="0" applyNumberFormat="1" applyFont="1" applyFill="1" applyBorder="1" applyAlignment="1" applyProtection="1">
      <alignment/>
      <protection hidden="1"/>
    </xf>
    <xf numFmtId="0" fontId="11" fillId="4" borderId="32" xfId="0" applyFont="1" applyFill="1" applyBorder="1" applyAlignment="1" applyProtection="1">
      <alignment/>
      <protection hidden="1"/>
    </xf>
    <xf numFmtId="0" fontId="11" fillId="4" borderId="33" xfId="0" applyNumberFormat="1" applyFont="1" applyFill="1" applyBorder="1" applyAlignment="1" applyProtection="1">
      <alignment/>
      <protection hidden="1"/>
    </xf>
    <xf numFmtId="0" fontId="10" fillId="11" borderId="40" xfId="0" applyFont="1" applyFill="1" applyBorder="1" applyAlignment="1" applyProtection="1">
      <alignment horizontal="left"/>
      <protection hidden="1"/>
    </xf>
    <xf numFmtId="0" fontId="0" fillId="11" borderId="39" xfId="0" applyFill="1" applyBorder="1" applyAlignment="1">
      <alignment/>
    </xf>
    <xf numFmtId="0" fontId="9" fillId="11" borderId="41" xfId="0" applyFont="1" applyFill="1" applyBorder="1" applyAlignment="1">
      <alignment horizontal="center"/>
    </xf>
    <xf numFmtId="0" fontId="4" fillId="11" borderId="39" xfId="0" applyFont="1" applyFill="1" applyBorder="1" applyAlignment="1" applyProtection="1">
      <alignment horizontal="left"/>
      <protection hidden="1"/>
    </xf>
    <xf numFmtId="0" fontId="13" fillId="11" borderId="26" xfId="0" applyFont="1" applyFill="1" applyBorder="1" applyAlignment="1">
      <alignment horizontal="left"/>
    </xf>
    <xf numFmtId="0" fontId="4" fillId="11" borderId="27" xfId="0" applyFont="1" applyFill="1" applyBorder="1" applyAlignment="1" applyProtection="1">
      <alignment/>
      <protection hidden="1"/>
    </xf>
    <xf numFmtId="0" fontId="11" fillId="5" borderId="0" xfId="0" applyFont="1" applyFill="1" applyBorder="1" applyAlignment="1" applyProtection="1">
      <alignment/>
      <protection hidden="1"/>
    </xf>
    <xf numFmtId="0" fontId="11" fillId="5" borderId="24" xfId="0" applyNumberFormat="1" applyFont="1" applyFill="1" applyBorder="1" applyAlignment="1" applyProtection="1">
      <alignment/>
      <protection hidden="1"/>
    </xf>
    <xf numFmtId="0" fontId="11" fillId="5" borderId="26" xfId="0" applyFont="1" applyFill="1" applyBorder="1" applyAlignment="1" applyProtection="1">
      <alignment/>
      <protection hidden="1"/>
    </xf>
    <xf numFmtId="3" fontId="11" fillId="5" borderId="27" xfId="0" applyNumberFormat="1" applyFont="1" applyFill="1" applyBorder="1" applyAlignment="1" applyProtection="1">
      <alignment/>
      <protection hidden="1"/>
    </xf>
    <xf numFmtId="0" fontId="16" fillId="4" borderId="60" xfId="0" applyNumberFormat="1" applyFont="1" applyFill="1" applyBorder="1" applyAlignment="1" applyProtection="1">
      <alignment/>
      <protection hidden="1"/>
    </xf>
    <xf numFmtId="3" fontId="11" fillId="4" borderId="24" xfId="0" applyNumberFormat="1" applyFont="1" applyFill="1" applyBorder="1" applyAlignment="1" applyProtection="1">
      <alignment/>
      <protection hidden="1"/>
    </xf>
    <xf numFmtId="0" fontId="16" fillId="4" borderId="26" xfId="0" applyNumberFormat="1" applyFont="1" applyFill="1" applyBorder="1" applyAlignment="1" applyProtection="1">
      <alignment/>
      <protection hidden="1"/>
    </xf>
    <xf numFmtId="0" fontId="11" fillId="5" borderId="45" xfId="0" applyFont="1" applyFill="1" applyBorder="1" applyAlignment="1" applyProtection="1">
      <alignment/>
      <protection hidden="1"/>
    </xf>
    <xf numFmtId="0" fontId="11" fillId="5" borderId="47" xfId="0" applyNumberFormat="1" applyFont="1" applyFill="1" applyBorder="1" applyAlignment="1" applyProtection="1">
      <alignment/>
      <protection hidden="1"/>
    </xf>
    <xf numFmtId="0" fontId="9" fillId="11" borderId="23" xfId="0" applyFont="1" applyFill="1" applyBorder="1" applyAlignment="1">
      <alignment horizontal="center"/>
    </xf>
    <xf numFmtId="0" fontId="9" fillId="11" borderId="51" xfId="0" applyFont="1" applyFill="1" applyBorder="1" applyAlignment="1">
      <alignment horizontal="center"/>
    </xf>
    <xf numFmtId="0" fontId="13" fillId="11" borderId="36" xfId="0" applyFont="1" applyFill="1" applyBorder="1" applyAlignment="1">
      <alignment horizontal="left"/>
    </xf>
    <xf numFmtId="0" fontId="4" fillId="11" borderId="35" xfId="0" applyFont="1" applyFill="1" applyBorder="1" applyAlignment="1" applyProtection="1">
      <alignment/>
      <protection hidden="1"/>
    </xf>
    <xf numFmtId="0" fontId="0" fillId="35" borderId="0" xfId="52" applyFill="1" applyBorder="1" applyAlignment="1">
      <alignment horizontal="center"/>
      <protection/>
    </xf>
    <xf numFmtId="10" fontId="0" fillId="35" borderId="0" xfId="52" applyNumberFormat="1" applyFill="1" applyBorder="1" applyAlignment="1">
      <alignment horizontal="center"/>
      <protection/>
    </xf>
    <xf numFmtId="1" fontId="13" fillId="35" borderId="76" xfId="0" applyNumberFormat="1" applyFont="1" applyFill="1" applyBorder="1" applyAlignment="1">
      <alignment horizontal="center" wrapText="1"/>
    </xf>
    <xf numFmtId="1" fontId="13" fillId="35" borderId="61" xfId="0" applyNumberFormat="1" applyFont="1" applyFill="1" applyBorder="1" applyAlignment="1">
      <alignment horizontal="center" wrapText="1"/>
    </xf>
    <xf numFmtId="1" fontId="13" fillId="35" borderId="41" xfId="0" applyNumberFormat="1" applyFont="1" applyFill="1" applyBorder="1" applyAlignment="1">
      <alignment horizontal="center" wrapText="1"/>
    </xf>
    <xf numFmtId="1" fontId="13" fillId="35" borderId="31" xfId="0" applyNumberFormat="1" applyFont="1" applyFill="1" applyBorder="1" applyAlignment="1">
      <alignment horizontal="center" wrapText="1"/>
    </xf>
    <xf numFmtId="1" fontId="13" fillId="35" borderId="62" xfId="0" applyNumberFormat="1" applyFont="1" applyFill="1" applyBorder="1" applyAlignment="1">
      <alignment horizontal="center" wrapText="1"/>
    </xf>
    <xf numFmtId="1" fontId="13" fillId="35" borderId="60" xfId="0" applyNumberFormat="1" applyFont="1" applyFill="1" applyBorder="1" applyAlignment="1">
      <alignment horizontal="center" wrapText="1"/>
    </xf>
    <xf numFmtId="1" fontId="13" fillId="35" borderId="74" xfId="0" applyNumberFormat="1" applyFont="1" applyFill="1" applyBorder="1" applyAlignment="1">
      <alignment horizontal="center" wrapText="1"/>
    </xf>
    <xf numFmtId="1" fontId="13" fillId="35" borderId="85" xfId="0" applyNumberFormat="1" applyFont="1" applyFill="1" applyBorder="1" applyAlignment="1">
      <alignment horizontal="center" wrapText="1"/>
    </xf>
    <xf numFmtId="1" fontId="13" fillId="35" borderId="50" xfId="0" applyNumberFormat="1" applyFont="1" applyFill="1" applyBorder="1" applyAlignment="1">
      <alignment horizontal="center" wrapText="1"/>
    </xf>
    <xf numFmtId="1" fontId="13" fillId="35" borderId="75" xfId="0" applyNumberFormat="1" applyFont="1" applyFill="1" applyBorder="1" applyAlignment="1">
      <alignment horizontal="center" wrapText="1"/>
    </xf>
    <xf numFmtId="1" fontId="13" fillId="35" borderId="33" xfId="0" applyNumberFormat="1" applyFont="1" applyFill="1" applyBorder="1" applyAlignment="1">
      <alignment horizontal="center" wrapText="1"/>
    </xf>
    <xf numFmtId="1" fontId="13" fillId="35" borderId="63" xfId="0" applyNumberFormat="1" applyFont="1" applyFill="1" applyBorder="1" applyAlignment="1">
      <alignment horizontal="center" wrapText="1"/>
    </xf>
    <xf numFmtId="1" fontId="13" fillId="35" borderId="73" xfId="0" applyNumberFormat="1" applyFont="1" applyFill="1" applyBorder="1" applyAlignment="1">
      <alignment horizontal="center" wrapText="1"/>
    </xf>
    <xf numFmtId="1" fontId="13" fillId="35" borderId="47" xfId="0" applyNumberFormat="1" applyFont="1" applyFill="1" applyBorder="1" applyAlignment="1">
      <alignment horizontal="center" wrapText="1"/>
    </xf>
    <xf numFmtId="1" fontId="13" fillId="35" borderId="30" xfId="0" applyNumberFormat="1" applyFont="1" applyFill="1" applyBorder="1" applyAlignment="1">
      <alignment horizontal="center" wrapText="1"/>
    </xf>
    <xf numFmtId="1" fontId="13" fillId="35" borderId="24" xfId="0" applyNumberFormat="1" applyFont="1" applyFill="1" applyBorder="1" applyAlignment="1">
      <alignment horizontal="center" wrapText="1"/>
    </xf>
    <xf numFmtId="0" fontId="13" fillId="5" borderId="20" xfId="0" applyFont="1" applyFill="1" applyBorder="1" applyAlignment="1">
      <alignment horizontal="center" wrapText="1"/>
    </xf>
    <xf numFmtId="1" fontId="13" fillId="35" borderId="70" xfId="0" applyNumberFormat="1" applyFont="1" applyFill="1" applyBorder="1" applyAlignment="1">
      <alignment horizontal="center" wrapText="1"/>
    </xf>
    <xf numFmtId="10" fontId="13" fillId="35" borderId="46" xfId="56" applyNumberFormat="1" applyFont="1" applyFill="1" applyBorder="1" applyAlignment="1">
      <alignment horizontal="center" wrapText="1"/>
    </xf>
    <xf numFmtId="10" fontId="13" fillId="35" borderId="86" xfId="56" applyNumberFormat="1" applyFont="1" applyFill="1" applyBorder="1" applyAlignment="1">
      <alignment horizontal="center" wrapText="1"/>
    </xf>
    <xf numFmtId="0" fontId="13" fillId="5" borderId="87" xfId="0" applyFont="1" applyFill="1" applyBorder="1" applyAlignment="1">
      <alignment horizontal="center" wrapText="1"/>
    </xf>
    <xf numFmtId="0" fontId="13" fillId="5" borderId="67" xfId="0" applyFont="1" applyFill="1" applyBorder="1" applyAlignment="1">
      <alignment horizontal="center" wrapText="1"/>
    </xf>
    <xf numFmtId="3" fontId="3" fillId="35" borderId="22" xfId="0" applyNumberFormat="1" applyFont="1" applyFill="1" applyBorder="1" applyAlignment="1" applyProtection="1">
      <alignment/>
      <protection hidden="1"/>
    </xf>
    <xf numFmtId="3" fontId="3" fillId="37" borderId="44" xfId="0" applyNumberFormat="1" applyFont="1" applyFill="1" applyBorder="1" applyAlignment="1" applyProtection="1">
      <alignment/>
      <protection locked="0"/>
    </xf>
    <xf numFmtId="0" fontId="11" fillId="7" borderId="32" xfId="0" applyFont="1" applyFill="1" applyBorder="1" applyAlignment="1" applyProtection="1">
      <alignment/>
      <protection hidden="1"/>
    </xf>
    <xf numFmtId="0" fontId="13" fillId="13" borderId="74" xfId="0" applyFont="1" applyFill="1" applyBorder="1" applyAlignment="1">
      <alignment horizontal="left"/>
    </xf>
    <xf numFmtId="3" fontId="3" fillId="35" borderId="32" xfId="0" applyNumberFormat="1" applyFont="1" applyFill="1" applyBorder="1" applyAlignment="1">
      <alignment/>
    </xf>
    <xf numFmtId="16" fontId="3" fillId="4" borderId="88" xfId="0" applyNumberFormat="1" applyFont="1" applyFill="1" applyBorder="1" applyAlignment="1" applyProtection="1">
      <alignment/>
      <protection hidden="1"/>
    </xf>
    <xf numFmtId="0" fontId="10" fillId="10" borderId="39" xfId="0" applyFont="1" applyFill="1" applyBorder="1" applyAlignment="1" applyProtection="1">
      <alignment horizontal="left"/>
      <protection hidden="1"/>
    </xf>
    <xf numFmtId="0" fontId="13" fillId="11" borderId="56" xfId="0" applyFont="1" applyFill="1" applyBorder="1" applyAlignment="1">
      <alignment horizontal="center"/>
    </xf>
    <xf numFmtId="0" fontId="13" fillId="11" borderId="56" xfId="0" applyFont="1" applyFill="1" applyBorder="1" applyAlignment="1">
      <alignment horizontal="center" wrapText="1"/>
    </xf>
    <xf numFmtId="0" fontId="13" fillId="11" borderId="39" xfId="0" applyFont="1" applyFill="1" applyBorder="1" applyAlignment="1">
      <alignment horizontal="center" wrapText="1"/>
    </xf>
    <xf numFmtId="10" fontId="13" fillId="5" borderId="60" xfId="56" applyNumberFormat="1" applyFont="1" applyFill="1" applyBorder="1" applyAlignment="1">
      <alignment horizontal="center" wrapText="1"/>
    </xf>
    <xf numFmtId="3" fontId="13" fillId="5" borderId="62" xfId="0" applyNumberFormat="1" applyFont="1" applyFill="1" applyBorder="1" applyAlignment="1">
      <alignment horizontal="center" wrapText="1"/>
    </xf>
    <xf numFmtId="3" fontId="13" fillId="5" borderId="54" xfId="0" applyNumberFormat="1" applyFont="1" applyFill="1" applyBorder="1" applyAlignment="1">
      <alignment horizontal="center" wrapText="1"/>
    </xf>
    <xf numFmtId="0" fontId="13" fillId="11" borderId="39" xfId="0" applyFont="1" applyFill="1" applyBorder="1" applyAlignment="1">
      <alignment horizontal="center"/>
    </xf>
    <xf numFmtId="0" fontId="3" fillId="11" borderId="41" xfId="49" applyFont="1" applyFill="1" applyBorder="1">
      <alignment/>
      <protection/>
    </xf>
    <xf numFmtId="0" fontId="11" fillId="7" borderId="23" xfId="0" applyNumberFormat="1" applyFont="1" applyFill="1" applyBorder="1" applyAlignment="1" applyProtection="1">
      <alignment horizontal="center" vertical="center"/>
      <protection hidden="1"/>
    </xf>
    <xf numFmtId="16" fontId="11" fillId="7" borderId="70" xfId="0" applyNumberFormat="1" applyFont="1" applyFill="1" applyBorder="1" applyAlignment="1" applyProtection="1">
      <alignment vertical="center"/>
      <protection hidden="1"/>
    </xf>
    <xf numFmtId="3" fontId="3" fillId="35" borderId="33" xfId="0" applyNumberFormat="1" applyFont="1" applyFill="1" applyBorder="1" applyAlignment="1">
      <alignment/>
    </xf>
    <xf numFmtId="16" fontId="11" fillId="7" borderId="49" xfId="0" applyNumberFormat="1" applyFont="1" applyFill="1" applyBorder="1" applyAlignment="1" applyProtection="1" quotePrefix="1">
      <alignment vertical="center"/>
      <protection hidden="1"/>
    </xf>
    <xf numFmtId="3" fontId="12" fillId="35" borderId="24" xfId="0" applyNumberFormat="1" applyFont="1" applyFill="1" applyBorder="1" applyAlignment="1" applyProtection="1">
      <alignment/>
      <protection hidden="1"/>
    </xf>
    <xf numFmtId="3" fontId="12" fillId="35" borderId="33" xfId="0" applyNumberFormat="1" applyFont="1" applyFill="1" applyBorder="1" applyAlignment="1" applyProtection="1">
      <alignment/>
      <protection hidden="1"/>
    </xf>
    <xf numFmtId="3" fontId="12" fillId="35" borderId="47" xfId="0" applyNumberFormat="1" applyFont="1" applyFill="1" applyBorder="1" applyAlignment="1" applyProtection="1">
      <alignment/>
      <protection hidden="1"/>
    </xf>
    <xf numFmtId="3" fontId="12" fillId="35" borderId="27" xfId="0" applyNumberFormat="1" applyFont="1" applyFill="1" applyBorder="1" applyAlignment="1" applyProtection="1">
      <alignment/>
      <protection hidden="1"/>
    </xf>
    <xf numFmtId="3" fontId="11" fillId="7" borderId="33" xfId="0" applyNumberFormat="1" applyFont="1" applyFill="1" applyBorder="1" applyAlignment="1" applyProtection="1">
      <alignment/>
      <protection hidden="1"/>
    </xf>
    <xf numFmtId="0" fontId="4" fillId="13" borderId="39" xfId="0" applyFont="1" applyFill="1" applyBorder="1" applyAlignment="1" applyProtection="1">
      <alignment horizontal="center"/>
      <protection hidden="1"/>
    </xf>
    <xf numFmtId="3" fontId="3" fillId="35" borderId="47" xfId="0" applyNumberFormat="1" applyFont="1" applyFill="1" applyBorder="1" applyAlignment="1" applyProtection="1">
      <alignment/>
      <protection hidden="1"/>
    </xf>
    <xf numFmtId="16" fontId="11" fillId="7" borderId="23" xfId="0" applyNumberFormat="1" applyFont="1" applyFill="1" applyBorder="1" applyAlignment="1" applyProtection="1">
      <alignment vertical="center"/>
      <protection hidden="1"/>
    </xf>
    <xf numFmtId="16" fontId="11" fillId="7" borderId="43" xfId="0" applyNumberFormat="1" applyFont="1" applyFill="1" applyBorder="1" applyAlignment="1" applyProtection="1">
      <alignment vertical="center"/>
      <protection hidden="1"/>
    </xf>
    <xf numFmtId="0" fontId="0" fillId="13" borderId="39" xfId="0" applyFill="1" applyBorder="1" applyAlignment="1">
      <alignment horizontal="center"/>
    </xf>
    <xf numFmtId="16" fontId="11" fillId="7" borderId="49" xfId="0" applyNumberFormat="1" applyFont="1" applyFill="1" applyBorder="1" applyAlignment="1" applyProtection="1">
      <alignment vertical="center"/>
      <protection hidden="1"/>
    </xf>
    <xf numFmtId="3" fontId="3" fillId="37" borderId="50" xfId="0" applyNumberFormat="1" applyFont="1" applyFill="1" applyBorder="1" applyAlignment="1" applyProtection="1">
      <alignment/>
      <protection locked="0"/>
    </xf>
    <xf numFmtId="0" fontId="11" fillId="7" borderId="83" xfId="0" applyFont="1" applyFill="1" applyBorder="1" applyAlignment="1" applyProtection="1">
      <alignment/>
      <protection hidden="1"/>
    </xf>
    <xf numFmtId="0" fontId="12" fillId="13" borderId="24" xfId="0" applyFont="1" applyFill="1" applyBorder="1" applyAlignment="1" applyProtection="1">
      <alignment horizontal="center"/>
      <protection hidden="1"/>
    </xf>
    <xf numFmtId="3" fontId="12" fillId="35" borderId="22" xfId="0" applyNumberFormat="1" applyFont="1" applyFill="1" applyBorder="1" applyAlignment="1" applyProtection="1">
      <alignment/>
      <protection hidden="1"/>
    </xf>
    <xf numFmtId="0" fontId="11" fillId="7" borderId="21" xfId="0" applyFont="1" applyFill="1" applyBorder="1" applyAlignment="1" applyProtection="1">
      <alignment/>
      <protection hidden="1"/>
    </xf>
    <xf numFmtId="3" fontId="40" fillId="35" borderId="21" xfId="49" applyNumberFormat="1" applyFont="1" applyFill="1" applyBorder="1" applyProtection="1">
      <alignment/>
      <protection hidden="1"/>
    </xf>
    <xf numFmtId="3" fontId="40" fillId="35" borderId="22" xfId="49" applyNumberFormat="1" applyFont="1" applyFill="1" applyBorder="1" applyProtection="1">
      <alignment/>
      <protection hidden="1"/>
    </xf>
    <xf numFmtId="3" fontId="37" fillId="35" borderId="21" xfId="49" applyNumberFormat="1" applyFont="1" applyFill="1" applyBorder="1" applyProtection="1">
      <alignment/>
      <protection hidden="1"/>
    </xf>
    <xf numFmtId="10" fontId="29" fillId="34" borderId="0" xfId="56" applyNumberFormat="1" applyFont="1" applyFill="1" applyBorder="1" applyAlignment="1">
      <alignment horizontal="center" vertical="center" wrapText="1"/>
    </xf>
    <xf numFmtId="0" fontId="37" fillId="7" borderId="83" xfId="0" applyFont="1" applyFill="1" applyBorder="1" applyAlignment="1" applyProtection="1">
      <alignment/>
      <protection hidden="1"/>
    </xf>
    <xf numFmtId="0" fontId="37" fillId="34" borderId="83" xfId="0" applyFont="1" applyFill="1" applyBorder="1" applyAlignment="1" applyProtection="1">
      <alignment/>
      <protection hidden="1"/>
    </xf>
    <xf numFmtId="2" fontId="13" fillId="37" borderId="89" xfId="56" applyNumberFormat="1" applyFont="1" applyFill="1" applyBorder="1" applyAlignment="1">
      <alignment horizontal="center" wrapText="1"/>
    </xf>
    <xf numFmtId="2" fontId="13" fillId="37" borderId="90" xfId="56" applyNumberFormat="1" applyFont="1" applyFill="1" applyBorder="1" applyAlignment="1">
      <alignment horizontal="center" wrapText="1"/>
    </xf>
    <xf numFmtId="2" fontId="13" fillId="37" borderId="27" xfId="56" applyNumberFormat="1" applyFont="1" applyFill="1" applyBorder="1" applyAlignment="1">
      <alignment horizontal="center" wrapText="1"/>
    </xf>
    <xf numFmtId="3" fontId="3" fillId="37" borderId="0" xfId="0" applyNumberFormat="1" applyFont="1" applyFill="1" applyBorder="1" applyAlignment="1" applyProtection="1">
      <alignment horizontal="center"/>
      <protection locked="0"/>
    </xf>
    <xf numFmtId="3" fontId="3" fillId="37" borderId="24" xfId="0" applyNumberFormat="1" applyFont="1" applyFill="1" applyBorder="1" applyAlignment="1" applyProtection="1">
      <alignment horizontal="center"/>
      <protection locked="0"/>
    </xf>
    <xf numFmtId="3" fontId="3" fillId="37" borderId="26" xfId="0" applyNumberFormat="1" applyFont="1" applyFill="1" applyBorder="1" applyAlignment="1" applyProtection="1">
      <alignment horizontal="center"/>
      <protection locked="0"/>
    </xf>
    <xf numFmtId="3" fontId="3" fillId="37" borderId="27" xfId="0" applyNumberFormat="1" applyFont="1" applyFill="1" applyBorder="1" applyAlignment="1" applyProtection="1">
      <alignment horizontal="center"/>
      <protection locked="0"/>
    </xf>
    <xf numFmtId="0" fontId="37" fillId="7" borderId="20" xfId="49" applyFont="1" applyFill="1" applyBorder="1" applyAlignment="1" applyProtection="1">
      <alignment horizontal="center"/>
      <protection hidden="1"/>
    </xf>
    <xf numFmtId="0" fontId="37" fillId="7" borderId="23" xfId="49" applyFont="1" applyFill="1" applyBorder="1" applyAlignment="1" applyProtection="1">
      <alignment horizontal="center"/>
      <protection hidden="1"/>
    </xf>
    <xf numFmtId="0" fontId="38" fillId="7" borderId="49" xfId="49" applyFont="1" applyFill="1" applyBorder="1" applyAlignment="1" applyProtection="1">
      <alignment horizontal="center"/>
      <protection hidden="1"/>
    </xf>
    <xf numFmtId="0" fontId="38" fillId="7" borderId="49" xfId="49" applyFont="1" applyFill="1" applyBorder="1" applyProtection="1">
      <alignment/>
      <protection hidden="1"/>
    </xf>
    <xf numFmtId="0" fontId="38" fillId="7" borderId="23" xfId="49" applyFont="1" applyFill="1" applyBorder="1" applyProtection="1">
      <alignment/>
      <protection hidden="1"/>
    </xf>
    <xf numFmtId="0" fontId="37" fillId="7" borderId="23" xfId="49" applyFont="1" applyFill="1" applyBorder="1" applyProtection="1" quotePrefix="1">
      <alignment/>
      <protection hidden="1"/>
    </xf>
    <xf numFmtId="3" fontId="37" fillId="7" borderId="25" xfId="49" applyNumberFormat="1" applyFont="1" applyFill="1" applyBorder="1" applyProtection="1" quotePrefix="1">
      <alignment/>
      <protection hidden="1"/>
    </xf>
    <xf numFmtId="0" fontId="26" fillId="7" borderId="21" xfId="49" applyFont="1" applyFill="1" applyBorder="1" applyProtection="1">
      <alignment/>
      <protection hidden="1"/>
    </xf>
    <xf numFmtId="0" fontId="38" fillId="7" borderId="21" xfId="49" applyFont="1" applyFill="1" applyBorder="1" applyProtection="1">
      <alignment/>
      <protection hidden="1"/>
    </xf>
    <xf numFmtId="0" fontId="26" fillId="7" borderId="0" xfId="49" applyFont="1" applyFill="1" applyBorder="1" applyProtection="1" quotePrefix="1">
      <alignment/>
      <protection hidden="1"/>
    </xf>
    <xf numFmtId="0" fontId="38" fillId="7" borderId="0" xfId="49" applyFont="1" applyFill="1" applyBorder="1" applyProtection="1">
      <alignment/>
      <protection hidden="1"/>
    </xf>
    <xf numFmtId="0" fontId="26" fillId="7" borderId="0" xfId="49" applyFont="1" applyFill="1" applyBorder="1" applyProtection="1">
      <alignment/>
      <protection hidden="1"/>
    </xf>
    <xf numFmtId="0" fontId="41" fillId="7" borderId="45" xfId="49" applyFont="1" applyFill="1" applyBorder="1" applyProtection="1">
      <alignment/>
      <protection hidden="1"/>
    </xf>
    <xf numFmtId="3" fontId="38" fillId="7" borderId="45" xfId="49" applyNumberFormat="1" applyFont="1" applyFill="1" applyBorder="1" applyProtection="1">
      <alignment/>
      <protection hidden="1"/>
    </xf>
    <xf numFmtId="0" fontId="37" fillId="7" borderId="23" xfId="49" applyFont="1" applyFill="1" applyBorder="1" applyAlignment="1" applyProtection="1" quotePrefix="1">
      <alignment horizontal="center"/>
      <protection hidden="1"/>
    </xf>
    <xf numFmtId="3" fontId="37" fillId="7" borderId="0" xfId="49" applyNumberFormat="1" applyFont="1" applyFill="1" applyBorder="1" applyProtection="1">
      <alignment/>
      <protection hidden="1"/>
    </xf>
    <xf numFmtId="0" fontId="38" fillId="7" borderId="45" xfId="49" applyFont="1" applyFill="1" applyBorder="1" applyProtection="1">
      <alignment/>
      <protection hidden="1"/>
    </xf>
    <xf numFmtId="3" fontId="38" fillId="7" borderId="0" xfId="49" applyNumberFormat="1" applyFont="1" applyFill="1" applyBorder="1" applyAlignment="1" applyProtection="1">
      <alignment horizontal="right"/>
      <protection hidden="1"/>
    </xf>
    <xf numFmtId="0" fontId="37" fillId="7" borderId="23" xfId="49" applyFont="1" applyFill="1" applyBorder="1" applyProtection="1">
      <alignment/>
      <protection hidden="1"/>
    </xf>
    <xf numFmtId="0" fontId="37" fillId="7" borderId="0" xfId="49" applyFont="1" applyFill="1" applyBorder="1" applyProtection="1">
      <alignment/>
      <protection hidden="1"/>
    </xf>
    <xf numFmtId="4" fontId="37" fillId="7" borderId="0" xfId="49" applyNumberFormat="1" applyFont="1" applyFill="1" applyBorder="1" applyAlignment="1" applyProtection="1">
      <alignment horizontal="right"/>
      <protection hidden="1"/>
    </xf>
    <xf numFmtId="3" fontId="40" fillId="7" borderId="25" xfId="49" applyNumberFormat="1" applyFont="1" applyFill="1" applyBorder="1" applyProtection="1">
      <alignment/>
      <protection hidden="1"/>
    </xf>
    <xf numFmtId="3" fontId="37" fillId="7" borderId="26" xfId="49" applyNumberFormat="1" applyFont="1" applyFill="1" applyBorder="1" applyProtection="1">
      <alignment/>
      <protection hidden="1"/>
    </xf>
    <xf numFmtId="3" fontId="39" fillId="7" borderId="26" xfId="49" applyNumberFormat="1" applyFont="1" applyFill="1" applyBorder="1" applyAlignment="1" applyProtection="1">
      <alignment horizontal="right"/>
      <protection hidden="1"/>
    </xf>
    <xf numFmtId="0" fontId="38" fillId="7" borderId="38" xfId="49" applyFont="1" applyFill="1" applyBorder="1" applyAlignment="1" applyProtection="1">
      <alignment horizontal="center"/>
      <protection hidden="1"/>
    </xf>
    <xf numFmtId="0" fontId="38" fillId="7" borderId="61" xfId="49" applyFont="1" applyFill="1" applyBorder="1" applyAlignment="1" applyProtection="1">
      <alignment horizontal="center"/>
      <protection hidden="1"/>
    </xf>
    <xf numFmtId="3" fontId="38" fillId="7" borderId="78" xfId="49" applyNumberFormat="1" applyFont="1" applyFill="1" applyBorder="1" applyProtection="1">
      <alignment/>
      <protection hidden="1"/>
    </xf>
    <xf numFmtId="3" fontId="37" fillId="7" borderId="61" xfId="49" applyNumberFormat="1" applyFont="1" applyFill="1" applyBorder="1" applyProtection="1">
      <alignment/>
      <protection hidden="1"/>
    </xf>
    <xf numFmtId="3" fontId="38" fillId="7" borderId="61" xfId="49" applyNumberFormat="1" applyFont="1" applyFill="1" applyBorder="1" applyAlignment="1" applyProtection="1">
      <alignment horizontal="right"/>
      <protection hidden="1"/>
    </xf>
    <xf numFmtId="4" fontId="37" fillId="7" borderId="61" xfId="49" applyNumberFormat="1" applyFont="1" applyFill="1" applyBorder="1" applyAlignment="1" applyProtection="1">
      <alignment horizontal="right"/>
      <protection hidden="1"/>
    </xf>
    <xf numFmtId="3" fontId="39" fillId="7" borderId="41" xfId="49" applyNumberFormat="1" applyFont="1" applyFill="1" applyBorder="1" applyAlignment="1" applyProtection="1">
      <alignment horizontal="right"/>
      <protection hidden="1"/>
    </xf>
    <xf numFmtId="3" fontId="38" fillId="7" borderId="61" xfId="49" applyNumberFormat="1" applyFont="1" applyFill="1" applyBorder="1" applyProtection="1">
      <alignment/>
      <protection hidden="1"/>
    </xf>
    <xf numFmtId="167" fontId="38" fillId="7" borderId="61" xfId="49" applyNumberFormat="1" applyFont="1" applyFill="1" applyBorder="1" applyProtection="1">
      <alignment/>
      <protection hidden="1"/>
    </xf>
    <xf numFmtId="3" fontId="38" fillId="7" borderId="41" xfId="49" applyNumberFormat="1" applyFont="1" applyFill="1" applyBorder="1" applyProtection="1">
      <alignment/>
      <protection hidden="1"/>
    </xf>
    <xf numFmtId="0" fontId="42" fillId="7" borderId="23" xfId="0" applyFont="1" applyFill="1" applyBorder="1" applyAlignment="1">
      <alignment/>
    </xf>
    <xf numFmtId="0" fontId="42" fillId="7" borderId="0" xfId="0" applyFont="1" applyFill="1" applyBorder="1" applyAlignment="1">
      <alignment/>
    </xf>
    <xf numFmtId="0" fontId="40" fillId="7" borderId="0" xfId="0" applyFont="1" applyFill="1" applyBorder="1" applyAlignment="1">
      <alignment/>
    </xf>
    <xf numFmtId="0" fontId="40" fillId="7" borderId="0" xfId="0" applyFont="1" applyFill="1" applyBorder="1" applyAlignment="1">
      <alignment horizontal="right"/>
    </xf>
    <xf numFmtId="0" fontId="40" fillId="7" borderId="24" xfId="0" applyFont="1" applyFill="1" applyBorder="1" applyAlignment="1">
      <alignment/>
    </xf>
    <xf numFmtId="0" fontId="42" fillId="7" borderId="25" xfId="0" applyFont="1" applyFill="1" applyBorder="1" applyAlignment="1">
      <alignment/>
    </xf>
    <xf numFmtId="0" fontId="42" fillId="7" borderId="26" xfId="0" applyFont="1" applyFill="1" applyBorder="1" applyAlignment="1">
      <alignment/>
    </xf>
    <xf numFmtId="0" fontId="40" fillId="7" borderId="26" xfId="0" applyFont="1" applyFill="1" applyBorder="1" applyAlignment="1">
      <alignment/>
    </xf>
    <xf numFmtId="0" fontId="40" fillId="7" borderId="26" xfId="0" applyFont="1" applyFill="1" applyBorder="1" applyAlignment="1">
      <alignment horizontal="right"/>
    </xf>
    <xf numFmtId="0" fontId="40" fillId="7" borderId="27" xfId="0" applyFont="1" applyFill="1" applyBorder="1" applyAlignment="1">
      <alignment/>
    </xf>
    <xf numFmtId="3" fontId="3" fillId="35" borderId="20" xfId="0" applyNumberFormat="1" applyFont="1" applyFill="1" applyBorder="1" applyAlignment="1" applyProtection="1">
      <alignment/>
      <protection hidden="1"/>
    </xf>
    <xf numFmtId="3" fontId="3" fillId="35" borderId="21" xfId="0" applyNumberFormat="1" applyFont="1" applyFill="1" applyBorder="1" applyAlignment="1" applyProtection="1">
      <alignment/>
      <protection hidden="1"/>
    </xf>
    <xf numFmtId="3" fontId="3" fillId="35" borderId="23" xfId="0" applyNumberFormat="1" applyFont="1" applyFill="1" applyBorder="1" applyAlignment="1" applyProtection="1">
      <alignment/>
      <protection hidden="1"/>
    </xf>
    <xf numFmtId="3" fontId="3" fillId="35" borderId="43" xfId="0" applyNumberFormat="1" applyFont="1" applyFill="1" applyBorder="1" applyAlignment="1" applyProtection="1">
      <alignment/>
      <protection locked="0"/>
    </xf>
    <xf numFmtId="3" fontId="3" fillId="35" borderId="23" xfId="0" applyNumberFormat="1" applyFont="1" applyFill="1" applyBorder="1" applyAlignment="1" applyProtection="1">
      <alignment/>
      <protection locked="0"/>
    </xf>
    <xf numFmtId="3" fontId="3" fillId="35" borderId="49" xfId="0" applyNumberFormat="1" applyFont="1" applyFill="1" applyBorder="1" applyAlignment="1" applyProtection="1">
      <alignment/>
      <protection locked="0"/>
    </xf>
    <xf numFmtId="3" fontId="4" fillId="35" borderId="25" xfId="0" applyNumberFormat="1" applyFont="1" applyFill="1" applyBorder="1" applyAlignment="1" applyProtection="1">
      <alignment/>
      <protection hidden="1"/>
    </xf>
    <xf numFmtId="0" fontId="15" fillId="35" borderId="0" xfId="0" applyFont="1" applyFill="1" applyBorder="1" applyAlignment="1" applyProtection="1">
      <alignment horizontal="right"/>
      <protection hidden="1"/>
    </xf>
    <xf numFmtId="0" fontId="11" fillId="7" borderId="49" xfId="0" applyNumberFormat="1" applyFont="1" applyFill="1" applyBorder="1" applyAlignment="1" applyProtection="1">
      <alignment horizontal="center" vertical="center"/>
      <protection hidden="1"/>
    </xf>
    <xf numFmtId="3" fontId="3" fillId="35" borderId="91" xfId="50" applyNumberFormat="1" applyFont="1" applyFill="1" applyBorder="1" applyProtection="1">
      <alignment/>
      <protection hidden="1"/>
    </xf>
    <xf numFmtId="3" fontId="4" fillId="35" borderId="92" xfId="50" applyNumberFormat="1" applyFont="1" applyFill="1" applyBorder="1" applyProtection="1">
      <alignment/>
      <protection hidden="1"/>
    </xf>
    <xf numFmtId="3" fontId="4" fillId="35" borderId="93" xfId="50" applyNumberFormat="1" applyFont="1" applyFill="1" applyBorder="1">
      <alignment/>
      <protection/>
    </xf>
    <xf numFmtId="3" fontId="4" fillId="35" borderId="94" xfId="50" applyNumberFormat="1" applyFont="1" applyFill="1" applyBorder="1">
      <alignment/>
      <protection/>
    </xf>
    <xf numFmtId="4" fontId="3" fillId="35" borderId="93" xfId="50" applyNumberFormat="1" applyFont="1" applyFill="1" applyBorder="1" applyProtection="1">
      <alignment/>
      <protection hidden="1"/>
    </xf>
    <xf numFmtId="3" fontId="4" fillId="35" borderId="95" xfId="50" applyNumberFormat="1" applyFont="1" applyFill="1" applyBorder="1" applyProtection="1">
      <alignment/>
      <protection hidden="1"/>
    </xf>
    <xf numFmtId="3" fontId="4" fillId="35" borderId="96" xfId="50" applyNumberFormat="1" applyFont="1" applyFill="1" applyBorder="1" applyProtection="1">
      <alignment/>
      <protection hidden="1"/>
    </xf>
    <xf numFmtId="4" fontId="3" fillId="35" borderId="93" xfId="50" applyNumberFormat="1" applyFont="1" applyFill="1" applyBorder="1">
      <alignment/>
      <protection/>
    </xf>
    <xf numFmtId="3" fontId="4" fillId="35" borderId="95" xfId="50" applyNumberFormat="1" applyFont="1" applyFill="1" applyBorder="1" applyAlignment="1" applyProtection="1">
      <alignment horizontal="right"/>
      <protection hidden="1"/>
    </xf>
    <xf numFmtId="3" fontId="4" fillId="35" borderId="96" xfId="50" applyNumberFormat="1" applyFont="1" applyFill="1" applyBorder="1">
      <alignment/>
      <protection/>
    </xf>
    <xf numFmtId="3" fontId="11" fillId="35" borderId="93" xfId="50" applyNumberFormat="1" applyFont="1" applyFill="1" applyBorder="1" applyProtection="1">
      <alignment/>
      <protection hidden="1"/>
    </xf>
    <xf numFmtId="3" fontId="11" fillId="35" borderId="97" xfId="50" applyNumberFormat="1" applyFont="1" applyFill="1" applyBorder="1" applyProtection="1">
      <alignment/>
      <protection hidden="1"/>
    </xf>
    <xf numFmtId="3" fontId="12" fillId="35" borderId="96" xfId="50" applyNumberFormat="1" applyFont="1" applyFill="1" applyBorder="1" applyProtection="1">
      <alignment/>
      <protection hidden="1"/>
    </xf>
    <xf numFmtId="10" fontId="12" fillId="35" borderId="98" xfId="50" applyNumberFormat="1" applyFont="1" applyFill="1" applyBorder="1" applyProtection="1">
      <alignment/>
      <protection hidden="1"/>
    </xf>
    <xf numFmtId="3" fontId="12" fillId="35" borderId="99" xfId="50" applyNumberFormat="1" applyFont="1" applyFill="1" applyBorder="1" applyProtection="1">
      <alignment/>
      <protection hidden="1"/>
    </xf>
    <xf numFmtId="3" fontId="4" fillId="35" borderId="0" xfId="52" applyNumberFormat="1" applyFont="1" applyFill="1" applyBorder="1" applyProtection="1">
      <alignment/>
      <protection hidden="1"/>
    </xf>
    <xf numFmtId="3" fontId="3" fillId="35" borderId="91" xfId="52" applyNumberFormat="1" applyFont="1" applyFill="1" applyBorder="1" applyProtection="1">
      <alignment/>
      <protection hidden="1"/>
    </xf>
    <xf numFmtId="3" fontId="4" fillId="35" borderId="92" xfId="52" applyNumberFormat="1" applyFont="1" applyFill="1" applyBorder="1" applyProtection="1">
      <alignment/>
      <protection hidden="1"/>
    </xf>
    <xf numFmtId="3" fontId="3" fillId="35" borderId="93" xfId="52" applyNumberFormat="1" applyFont="1" applyFill="1" applyBorder="1" applyProtection="1">
      <alignment/>
      <protection hidden="1"/>
    </xf>
    <xf numFmtId="3" fontId="4" fillId="35" borderId="93" xfId="52" applyNumberFormat="1" applyFont="1" applyFill="1" applyBorder="1" applyProtection="1">
      <alignment/>
      <protection hidden="1"/>
    </xf>
    <xf numFmtId="3" fontId="3" fillId="35" borderId="97" xfId="52" applyNumberFormat="1" applyFont="1" applyFill="1" applyBorder="1" applyProtection="1">
      <alignment/>
      <protection hidden="1"/>
    </xf>
    <xf numFmtId="3" fontId="4" fillId="35" borderId="94" xfId="52" applyNumberFormat="1" applyFont="1" applyFill="1" applyBorder="1" applyProtection="1">
      <alignment/>
      <protection hidden="1"/>
    </xf>
    <xf numFmtId="3" fontId="4" fillId="35" borderId="93" xfId="52" applyNumberFormat="1" applyFont="1" applyFill="1" applyBorder="1" applyAlignment="1" applyProtection="1">
      <alignment horizontal="right"/>
      <protection hidden="1"/>
    </xf>
    <xf numFmtId="3" fontId="4" fillId="35" borderId="95" xfId="52" applyNumberFormat="1" applyFont="1" applyFill="1" applyBorder="1" applyAlignment="1" applyProtection="1">
      <alignment horizontal="right"/>
      <protection hidden="1"/>
    </xf>
    <xf numFmtId="3" fontId="4" fillId="35" borderId="96" xfId="52" applyNumberFormat="1" applyFont="1" applyFill="1" applyBorder="1" applyAlignment="1" applyProtection="1">
      <alignment horizontal="right"/>
      <protection hidden="1"/>
    </xf>
    <xf numFmtId="3" fontId="11" fillId="35" borderId="93" xfId="52" applyNumberFormat="1" applyFont="1" applyFill="1" applyBorder="1" applyProtection="1">
      <alignment/>
      <protection hidden="1"/>
    </xf>
    <xf numFmtId="3" fontId="11" fillId="35" borderId="97" xfId="52" applyNumberFormat="1" applyFont="1" applyFill="1" applyBorder="1" applyProtection="1">
      <alignment/>
      <protection hidden="1"/>
    </xf>
    <xf numFmtId="3" fontId="11" fillId="35" borderId="94" xfId="52" applyNumberFormat="1" applyFont="1" applyFill="1" applyBorder="1" applyProtection="1">
      <alignment/>
      <protection hidden="1"/>
    </xf>
    <xf numFmtId="3" fontId="11" fillId="35" borderId="96" xfId="52" applyNumberFormat="1" applyFont="1" applyFill="1" applyBorder="1" applyProtection="1">
      <alignment/>
      <protection hidden="1"/>
    </xf>
    <xf numFmtId="0" fontId="11" fillId="34" borderId="100" xfId="50" applyFont="1" applyFill="1" applyBorder="1" applyProtection="1">
      <alignment/>
      <protection hidden="1"/>
    </xf>
    <xf numFmtId="0" fontId="11" fillId="34" borderId="101" xfId="50" applyFont="1" applyFill="1" applyBorder="1" applyProtection="1">
      <alignment/>
      <protection hidden="1"/>
    </xf>
    <xf numFmtId="0" fontId="3" fillId="34" borderId="100" xfId="50" applyFont="1" applyFill="1" applyBorder="1">
      <alignment/>
      <protection/>
    </xf>
    <xf numFmtId="0" fontId="11" fillId="34" borderId="102" xfId="50" applyFont="1" applyFill="1" applyBorder="1" applyProtection="1">
      <alignment/>
      <protection hidden="1"/>
    </xf>
    <xf numFmtId="0" fontId="3" fillId="34" borderId="103" xfId="50" applyFont="1" applyFill="1" applyBorder="1">
      <alignment/>
      <protection/>
    </xf>
    <xf numFmtId="0" fontId="11" fillId="34" borderId="100" xfId="50" applyFont="1" applyFill="1" applyBorder="1" applyProtection="1" quotePrefix="1">
      <alignment/>
      <protection hidden="1"/>
    </xf>
    <xf numFmtId="3" fontId="11" fillId="34" borderId="104" xfId="50" applyNumberFormat="1" applyFont="1" applyFill="1" applyBorder="1" applyProtection="1" quotePrefix="1">
      <alignment/>
      <protection hidden="1"/>
    </xf>
    <xf numFmtId="3" fontId="11" fillId="34" borderId="105" xfId="50" applyNumberFormat="1" applyFont="1" applyFill="1" applyBorder="1" applyProtection="1">
      <alignment/>
      <protection hidden="1"/>
    </xf>
    <xf numFmtId="9" fontId="12" fillId="34" borderId="93" xfId="50" applyNumberFormat="1" applyFont="1" applyFill="1" applyBorder="1" applyAlignment="1" applyProtection="1">
      <alignment horizontal="center"/>
      <protection hidden="1"/>
    </xf>
    <xf numFmtId="3" fontId="12" fillId="34" borderId="96" xfId="50" applyNumberFormat="1" applyFont="1" applyFill="1" applyBorder="1" applyProtection="1">
      <alignment/>
      <protection hidden="1"/>
    </xf>
    <xf numFmtId="0" fontId="11" fillId="34" borderId="101" xfId="50" applyFont="1" applyFill="1" applyBorder="1" applyProtection="1" quotePrefix="1">
      <alignment/>
      <protection hidden="1"/>
    </xf>
    <xf numFmtId="0" fontId="12" fillId="34" borderId="101" xfId="50" applyFont="1" applyFill="1" applyBorder="1" applyProtection="1">
      <alignment/>
      <protection hidden="1"/>
    </xf>
    <xf numFmtId="0" fontId="11" fillId="34" borderId="106" xfId="50" applyFont="1" applyFill="1" applyBorder="1" applyProtection="1" quotePrefix="1">
      <alignment/>
      <protection hidden="1"/>
    </xf>
    <xf numFmtId="0" fontId="12" fillId="34" borderId="107" xfId="50" applyFont="1" applyFill="1" applyBorder="1" applyProtection="1">
      <alignment/>
      <protection hidden="1"/>
    </xf>
    <xf numFmtId="3" fontId="11" fillId="34" borderId="104" xfId="50" applyNumberFormat="1" applyFont="1" applyFill="1" applyBorder="1" applyProtection="1">
      <alignment/>
      <protection hidden="1"/>
    </xf>
    <xf numFmtId="4" fontId="12" fillId="34" borderId="93" xfId="50" applyNumberFormat="1" applyFont="1" applyFill="1" applyBorder="1" applyAlignment="1" applyProtection="1">
      <alignment horizontal="right"/>
      <protection hidden="1"/>
    </xf>
    <xf numFmtId="9" fontId="12" fillId="34" borderId="93" xfId="57" applyFont="1" applyFill="1" applyBorder="1" applyAlignment="1" applyProtection="1">
      <alignment horizontal="center"/>
      <protection hidden="1"/>
    </xf>
    <xf numFmtId="3" fontId="12" fillId="34" borderId="96" xfId="50" applyNumberFormat="1" applyFont="1" applyFill="1" applyBorder="1" applyAlignment="1" applyProtection="1">
      <alignment horizontal="right"/>
      <protection hidden="1"/>
    </xf>
    <xf numFmtId="0" fontId="10" fillId="36" borderId="108" xfId="52" applyFont="1" applyFill="1" applyBorder="1" applyAlignment="1" applyProtection="1">
      <alignment horizontal="center"/>
      <protection hidden="1"/>
    </xf>
    <xf numFmtId="0" fontId="10" fillId="36" borderId="109" xfId="52" applyFont="1" applyFill="1" applyBorder="1" applyAlignment="1" applyProtection="1">
      <alignment horizontal="left"/>
      <protection hidden="1"/>
    </xf>
    <xf numFmtId="0" fontId="10" fillId="36" borderId="98" xfId="52" applyFont="1" applyFill="1" applyBorder="1" applyAlignment="1" applyProtection="1">
      <alignment horizontal="center"/>
      <protection hidden="1"/>
    </xf>
    <xf numFmtId="0" fontId="9" fillId="36" borderId="104" xfId="52" applyFont="1" applyFill="1" applyBorder="1" applyAlignment="1">
      <alignment horizontal="center"/>
      <protection/>
    </xf>
    <xf numFmtId="0" fontId="12" fillId="36" borderId="96" xfId="52" applyFont="1" applyFill="1" applyBorder="1" applyAlignment="1" applyProtection="1">
      <alignment horizontal="center"/>
      <protection hidden="1"/>
    </xf>
    <xf numFmtId="0" fontId="9" fillId="36" borderId="95" xfId="52" applyFont="1" applyFill="1" applyBorder="1" applyAlignment="1">
      <alignment horizontal="left"/>
      <protection/>
    </xf>
    <xf numFmtId="0" fontId="10" fillId="36" borderId="104" xfId="52" applyFont="1" applyFill="1" applyBorder="1" applyAlignment="1" applyProtection="1">
      <alignment horizontal="center"/>
      <protection hidden="1"/>
    </xf>
    <xf numFmtId="175" fontId="0" fillId="36" borderId="110" xfId="52" applyNumberFormat="1" applyFont="1" applyFill="1" applyBorder="1" applyAlignment="1" applyProtection="1">
      <alignment horizontal="left"/>
      <protection hidden="1"/>
    </xf>
    <xf numFmtId="16" fontId="11" fillId="34" borderId="111" xfId="52" applyNumberFormat="1" applyFont="1" applyFill="1" applyBorder="1" applyAlignment="1" applyProtection="1" quotePrefix="1">
      <alignment horizontal="center"/>
      <protection hidden="1"/>
    </xf>
    <xf numFmtId="0" fontId="12" fillId="34" borderId="111" xfId="52" applyFont="1" applyFill="1" applyBorder="1" applyProtection="1">
      <alignment/>
      <protection hidden="1"/>
    </xf>
    <xf numFmtId="16" fontId="11" fillId="34" borderId="112" xfId="52" applyNumberFormat="1" applyFont="1" applyFill="1" applyBorder="1" applyAlignment="1" applyProtection="1" quotePrefix="1">
      <alignment horizontal="center"/>
      <protection hidden="1"/>
    </xf>
    <xf numFmtId="0" fontId="12" fillId="34" borderId="113" xfId="52" applyFont="1" applyFill="1" applyBorder="1" applyProtection="1">
      <alignment/>
      <protection hidden="1"/>
    </xf>
    <xf numFmtId="0" fontId="11" fillId="34" borderId="110" xfId="52" applyFont="1" applyFill="1" applyBorder="1" applyProtection="1">
      <alignment/>
      <protection hidden="1"/>
    </xf>
    <xf numFmtId="0" fontId="11" fillId="34" borderId="0" xfId="52" applyFont="1" applyFill="1" applyBorder="1" applyProtection="1">
      <alignment/>
      <protection hidden="1"/>
    </xf>
    <xf numFmtId="0" fontId="11" fillId="34" borderId="0" xfId="52" applyFont="1" applyFill="1" applyBorder="1" applyAlignment="1" applyProtection="1">
      <alignment horizontal="left"/>
      <protection hidden="1"/>
    </xf>
    <xf numFmtId="16" fontId="11" fillId="34" borderId="0" xfId="52" applyNumberFormat="1" applyFont="1" applyFill="1" applyBorder="1" applyProtection="1">
      <alignment/>
      <protection hidden="1"/>
    </xf>
    <xf numFmtId="0" fontId="11" fillId="34" borderId="111" xfId="52" applyFont="1" applyFill="1" applyBorder="1">
      <alignment/>
      <protection/>
    </xf>
    <xf numFmtId="0" fontId="12" fillId="34" borderId="0" xfId="52" applyFont="1" applyFill="1" applyBorder="1" applyProtection="1">
      <alignment/>
      <protection hidden="1"/>
    </xf>
    <xf numFmtId="0" fontId="11" fillId="34" borderId="91" xfId="52" applyFont="1" applyFill="1" applyBorder="1" applyAlignment="1" applyProtection="1">
      <alignment wrapText="1"/>
      <protection hidden="1"/>
    </xf>
    <xf numFmtId="16" fontId="11" fillId="34" borderId="0" xfId="52" applyNumberFormat="1" applyFont="1" applyFill="1" applyBorder="1" applyAlignment="1" applyProtection="1">
      <alignment horizontal="left"/>
      <protection hidden="1"/>
    </xf>
    <xf numFmtId="0" fontId="11" fillId="34" borderId="0" xfId="50" applyFont="1" applyFill="1" applyBorder="1" applyAlignment="1" applyProtection="1">
      <alignment wrapText="1"/>
      <protection hidden="1"/>
    </xf>
    <xf numFmtId="0" fontId="12" fillId="34" borderId="92" xfId="52" applyFont="1" applyFill="1" applyBorder="1" applyProtection="1">
      <alignment/>
      <protection hidden="1"/>
    </xf>
    <xf numFmtId="0" fontId="12" fillId="34" borderId="95" xfId="52" applyFont="1" applyFill="1" applyBorder="1" applyProtection="1">
      <alignment/>
      <protection hidden="1"/>
    </xf>
    <xf numFmtId="3" fontId="11" fillId="34" borderId="93" xfId="52" applyNumberFormat="1" applyFont="1" applyFill="1" applyBorder="1" applyProtection="1" quotePrefix="1">
      <alignment/>
      <protection hidden="1"/>
    </xf>
    <xf numFmtId="3" fontId="11" fillId="34" borderId="93" xfId="52" applyNumberFormat="1" applyFont="1" applyFill="1" applyBorder="1" applyProtection="1">
      <alignment/>
      <protection hidden="1"/>
    </xf>
    <xf numFmtId="3" fontId="12" fillId="34" borderId="93" xfId="52" applyNumberFormat="1" applyFont="1" applyFill="1" applyBorder="1" applyProtection="1">
      <alignment/>
      <protection hidden="1"/>
    </xf>
    <xf numFmtId="3" fontId="11" fillId="34" borderId="97" xfId="52" applyNumberFormat="1" applyFont="1" applyFill="1" applyBorder="1" applyProtection="1">
      <alignment/>
      <protection hidden="1"/>
    </xf>
    <xf numFmtId="3" fontId="12" fillId="34" borderId="94" xfId="52" applyNumberFormat="1" applyFont="1" applyFill="1" applyBorder="1" applyProtection="1">
      <alignment/>
      <protection hidden="1"/>
    </xf>
    <xf numFmtId="3" fontId="12" fillId="34" borderId="96" xfId="52" applyNumberFormat="1" applyFont="1" applyFill="1" applyBorder="1" applyProtection="1">
      <alignment/>
      <protection hidden="1"/>
    </xf>
    <xf numFmtId="4" fontId="11" fillId="34" borderId="93" xfId="50" applyNumberFormat="1" applyFont="1" applyFill="1" applyBorder="1" applyProtection="1">
      <alignment/>
      <protection hidden="1"/>
    </xf>
    <xf numFmtId="4" fontId="12" fillId="34" borderId="93" xfId="50" applyNumberFormat="1" applyFont="1" applyFill="1" applyBorder="1" applyProtection="1">
      <alignment/>
      <protection hidden="1"/>
    </xf>
    <xf numFmtId="4" fontId="11" fillId="34" borderId="97" xfId="50" applyNumberFormat="1" applyFont="1" applyFill="1" applyBorder="1" applyProtection="1">
      <alignment/>
      <protection hidden="1"/>
    </xf>
    <xf numFmtId="4" fontId="12" fillId="34" borderId="94" xfId="50" applyNumberFormat="1" applyFont="1" applyFill="1" applyBorder="1" applyProtection="1">
      <alignment/>
      <protection hidden="1"/>
    </xf>
    <xf numFmtId="0" fontId="13" fillId="5" borderId="24" xfId="0" applyFont="1" applyFill="1" applyBorder="1" applyAlignment="1">
      <alignment wrapText="1"/>
    </xf>
    <xf numFmtId="0" fontId="29" fillId="35" borderId="0" xfId="0" applyFont="1" applyFill="1" applyAlignment="1">
      <alignment horizontal="left"/>
    </xf>
    <xf numFmtId="0" fontId="56" fillId="34" borderId="26" xfId="0" applyFont="1" applyFill="1" applyBorder="1" applyAlignment="1" applyProtection="1">
      <alignment/>
      <protection hidden="1"/>
    </xf>
    <xf numFmtId="168" fontId="37" fillId="34" borderId="0" xfId="0" applyNumberFormat="1" applyFont="1" applyFill="1" applyBorder="1" applyAlignment="1">
      <alignment horizontal="left"/>
    </xf>
    <xf numFmtId="168" fontId="37" fillId="34" borderId="0" xfId="0" applyNumberFormat="1" applyFont="1" applyFill="1" applyBorder="1" applyAlignment="1" applyProtection="1">
      <alignment horizontal="left"/>
      <protection hidden="1"/>
    </xf>
    <xf numFmtId="167" fontId="37" fillId="34" borderId="26" xfId="56" applyNumberFormat="1" applyFont="1" applyFill="1" applyBorder="1" applyAlignment="1" applyProtection="1">
      <alignment horizontal="left"/>
      <protection hidden="1"/>
    </xf>
    <xf numFmtId="168" fontId="38" fillId="34" borderId="26" xfId="0" applyNumberFormat="1" applyFont="1" applyFill="1" applyBorder="1" applyAlignment="1" applyProtection="1">
      <alignment horizontal="left"/>
      <protection hidden="1"/>
    </xf>
    <xf numFmtId="168" fontId="37" fillId="34" borderId="0" xfId="0" applyNumberFormat="1" applyFont="1" applyFill="1" applyBorder="1" applyAlignment="1" applyProtection="1">
      <alignment/>
      <protection hidden="1"/>
    </xf>
    <xf numFmtId="168" fontId="38" fillId="34" borderId="26" xfId="0" applyNumberFormat="1" applyFont="1" applyFill="1" applyBorder="1" applyAlignment="1" applyProtection="1">
      <alignment/>
      <protection hidden="1"/>
    </xf>
    <xf numFmtId="3" fontId="37" fillId="35" borderId="22" xfId="0" applyNumberFormat="1" applyFont="1" applyFill="1" applyBorder="1" applyAlignment="1">
      <alignment horizontal="right"/>
    </xf>
    <xf numFmtId="3" fontId="37" fillId="35" borderId="24" xfId="0" applyNumberFormat="1" applyFont="1" applyFill="1" applyBorder="1" applyAlignment="1">
      <alignment horizontal="right"/>
    </xf>
    <xf numFmtId="3" fontId="38" fillId="35" borderId="33" xfId="0" applyNumberFormat="1" applyFont="1" applyFill="1" applyBorder="1" applyAlignment="1">
      <alignment horizontal="right"/>
    </xf>
    <xf numFmtId="3" fontId="37" fillId="35" borderId="27" xfId="0" applyNumberFormat="1" applyFont="1" applyFill="1" applyBorder="1" applyAlignment="1" applyProtection="1">
      <alignment horizontal="right"/>
      <protection hidden="1"/>
    </xf>
    <xf numFmtId="3" fontId="38" fillId="35" borderId="27" xfId="0" applyNumberFormat="1" applyFont="1" applyFill="1" applyBorder="1" applyAlignment="1" applyProtection="1">
      <alignment horizontal="right"/>
      <protection hidden="1"/>
    </xf>
    <xf numFmtId="0" fontId="44" fillId="36" borderId="21" xfId="0" applyFont="1" applyFill="1" applyBorder="1" applyAlignment="1">
      <alignment horizontal="center" wrapText="1"/>
    </xf>
    <xf numFmtId="0" fontId="44" fillId="36" borderId="38" xfId="0" applyFont="1" applyFill="1" applyBorder="1" applyAlignment="1">
      <alignment horizontal="center" wrapText="1"/>
    </xf>
    <xf numFmtId="0" fontId="44" fillId="36" borderId="22" xfId="0" applyFont="1" applyFill="1" applyBorder="1" applyAlignment="1">
      <alignment horizontal="center" wrapText="1"/>
    </xf>
    <xf numFmtId="3" fontId="43" fillId="35" borderId="21" xfId="0" applyNumberFormat="1" applyFont="1" applyFill="1" applyBorder="1" applyAlignment="1">
      <alignment horizontal="center"/>
    </xf>
    <xf numFmtId="3" fontId="43" fillId="35" borderId="0" xfId="0" applyNumberFormat="1" applyFont="1" applyFill="1" applyBorder="1" applyAlignment="1">
      <alignment horizontal="center"/>
    </xf>
    <xf numFmtId="3" fontId="43" fillId="35" borderId="45" xfId="0" applyNumberFormat="1" applyFont="1" applyFill="1" applyBorder="1" applyAlignment="1">
      <alignment horizontal="center"/>
    </xf>
    <xf numFmtId="0" fontId="38" fillId="5" borderId="114" xfId="0" applyFont="1" applyFill="1" applyBorder="1" applyAlignment="1" applyProtection="1">
      <alignment/>
      <protection hidden="1"/>
    </xf>
    <xf numFmtId="179" fontId="37" fillId="5" borderId="115" xfId="0" applyNumberFormat="1" applyFont="1" applyFill="1" applyBorder="1" applyAlignment="1" applyProtection="1">
      <alignment horizontal="left"/>
      <protection hidden="1"/>
    </xf>
    <xf numFmtId="0" fontId="38" fillId="5" borderId="115" xfId="0" applyFont="1" applyFill="1" applyBorder="1" applyAlignment="1" applyProtection="1">
      <alignment/>
      <protection hidden="1"/>
    </xf>
    <xf numFmtId="3" fontId="38" fillId="35" borderId="116" xfId="0" applyNumberFormat="1" applyFont="1" applyFill="1" applyBorder="1" applyAlignment="1" applyProtection="1">
      <alignment horizontal="right"/>
      <protection hidden="1"/>
    </xf>
    <xf numFmtId="3" fontId="37" fillId="35" borderId="117" xfId="0" applyNumberFormat="1" applyFont="1" applyFill="1" applyBorder="1" applyAlignment="1" applyProtection="1">
      <alignment/>
      <protection hidden="1"/>
    </xf>
    <xf numFmtId="3" fontId="38" fillId="35" borderId="118" xfId="0" applyNumberFormat="1" applyFont="1" applyFill="1" applyBorder="1" applyAlignment="1" applyProtection="1">
      <alignment horizontal="right"/>
      <protection hidden="1"/>
    </xf>
    <xf numFmtId="0" fontId="37" fillId="13" borderId="39" xfId="49" applyFont="1" applyFill="1" applyBorder="1" applyAlignment="1" applyProtection="1">
      <alignment horizontal="center"/>
      <protection hidden="1"/>
    </xf>
    <xf numFmtId="0" fontId="29" fillId="35" borderId="0" xfId="0" applyFont="1" applyFill="1" applyAlignment="1">
      <alignment horizontal="right"/>
    </xf>
    <xf numFmtId="0" fontId="29" fillId="35" borderId="0" xfId="0" applyFont="1" applyFill="1" applyAlignment="1">
      <alignment/>
    </xf>
    <xf numFmtId="11" fontId="15" fillId="5" borderId="27" xfId="0" applyNumberFormat="1" applyFont="1" applyFill="1" applyBorder="1" applyAlignment="1">
      <alignment wrapText="1"/>
    </xf>
    <xf numFmtId="0" fontId="13" fillId="13" borderId="39" xfId="0" applyFont="1" applyFill="1" applyBorder="1" applyAlignment="1">
      <alignment horizontal="center"/>
    </xf>
    <xf numFmtId="0" fontId="4" fillId="13" borderId="39" xfId="0" applyFont="1" applyFill="1" applyBorder="1" applyAlignment="1" applyProtection="1">
      <alignment horizontal="center" vertical="center"/>
      <protection hidden="1"/>
    </xf>
    <xf numFmtId="0" fontId="12" fillId="13" borderId="39" xfId="0" applyFont="1" applyFill="1" applyBorder="1" applyAlignment="1" applyProtection="1">
      <alignment horizontal="center"/>
      <protection hidden="1"/>
    </xf>
    <xf numFmtId="0" fontId="25" fillId="35" borderId="0" xfId="0" applyFont="1" applyFill="1" applyAlignment="1">
      <alignment wrapText="1"/>
    </xf>
    <xf numFmtId="0" fontId="32" fillId="36" borderId="39" xfId="52" applyFont="1" applyFill="1" applyBorder="1" applyAlignment="1" applyProtection="1">
      <alignment horizontal="center"/>
      <protection hidden="1"/>
    </xf>
    <xf numFmtId="3" fontId="39" fillId="35" borderId="0" xfId="0" applyNumberFormat="1" applyFont="1" applyFill="1" applyBorder="1" applyAlignment="1" applyProtection="1">
      <alignment/>
      <protection locked="0"/>
    </xf>
    <xf numFmtId="3" fontId="39" fillId="35" borderId="0" xfId="0" applyNumberFormat="1" applyFont="1" applyFill="1" applyBorder="1" applyAlignment="1" applyProtection="1">
      <alignment/>
      <protection hidden="1"/>
    </xf>
    <xf numFmtId="2" fontId="39" fillId="34" borderId="23" xfId="0" applyNumberFormat="1" applyFont="1" applyFill="1" applyBorder="1" applyAlignment="1" applyProtection="1">
      <alignment horizontal="center"/>
      <protection hidden="1"/>
    </xf>
    <xf numFmtId="2" fontId="39" fillId="34" borderId="23" xfId="0" applyNumberFormat="1" applyFont="1" applyFill="1" applyBorder="1" applyAlignment="1" applyProtection="1" quotePrefix="1">
      <alignment horizontal="center"/>
      <protection hidden="1"/>
    </xf>
    <xf numFmtId="2" fontId="39" fillId="34" borderId="49" xfId="0" applyNumberFormat="1" applyFont="1" applyFill="1" applyBorder="1" applyAlignment="1" applyProtection="1" quotePrefix="1">
      <alignment horizontal="center"/>
      <protection hidden="1"/>
    </xf>
    <xf numFmtId="3" fontId="11" fillId="34" borderId="97" xfId="50" applyNumberFormat="1" applyFont="1" applyFill="1" applyBorder="1" applyProtection="1">
      <alignment/>
      <protection hidden="1"/>
    </xf>
    <xf numFmtId="0" fontId="42" fillId="34" borderId="25" xfId="0" applyFont="1" applyFill="1" applyBorder="1" applyAlignment="1">
      <alignment/>
    </xf>
    <xf numFmtId="0" fontId="42" fillId="34" borderId="26" xfId="0" applyFont="1" applyFill="1" applyBorder="1" applyAlignment="1">
      <alignment/>
    </xf>
    <xf numFmtId="4" fontId="3" fillId="35" borderId="0" xfId="0" applyNumberFormat="1" applyFont="1" applyFill="1" applyBorder="1" applyAlignment="1" applyProtection="1">
      <alignment/>
      <protection hidden="1"/>
    </xf>
    <xf numFmtId="4" fontId="3" fillId="35" borderId="24" xfId="0" applyNumberFormat="1" applyFont="1" applyFill="1" applyBorder="1" applyAlignment="1" applyProtection="1">
      <alignment/>
      <protection hidden="1"/>
    </xf>
    <xf numFmtId="174" fontId="3" fillId="35" borderId="0" xfId="0" applyNumberFormat="1" applyFont="1" applyFill="1" applyBorder="1" applyAlignment="1" applyProtection="1">
      <alignment/>
      <protection hidden="1"/>
    </xf>
    <xf numFmtId="174" fontId="3" fillId="35" borderId="24" xfId="0" applyNumberFormat="1" applyFont="1" applyFill="1" applyBorder="1" applyAlignment="1" applyProtection="1">
      <alignment/>
      <protection hidden="1"/>
    </xf>
    <xf numFmtId="174" fontId="3" fillId="35" borderId="26" xfId="0" applyNumberFormat="1" applyFont="1" applyFill="1" applyBorder="1" applyAlignment="1" applyProtection="1">
      <alignment/>
      <protection locked="0"/>
    </xf>
    <xf numFmtId="174" fontId="3" fillId="35" borderId="27" xfId="0" applyNumberFormat="1" applyFont="1" applyFill="1" applyBorder="1" applyAlignment="1" applyProtection="1">
      <alignment/>
      <protection locked="0"/>
    </xf>
    <xf numFmtId="174" fontId="3" fillId="35" borderId="45" xfId="0" applyNumberFormat="1" applyFont="1" applyFill="1" applyBorder="1" applyAlignment="1" applyProtection="1">
      <alignment/>
      <protection hidden="1"/>
    </xf>
    <xf numFmtId="174" fontId="3" fillId="35" borderId="47" xfId="0" applyNumberFormat="1" applyFont="1" applyFill="1" applyBorder="1" applyAlignment="1" applyProtection="1">
      <alignment/>
      <protection hidden="1"/>
    </xf>
    <xf numFmtId="174" fontId="3" fillId="35" borderId="0" xfId="0" applyNumberFormat="1" applyFont="1" applyFill="1" applyBorder="1" applyAlignment="1">
      <alignment/>
    </xf>
    <xf numFmtId="174" fontId="3" fillId="35" borderId="24" xfId="0" applyNumberFormat="1" applyFont="1" applyFill="1" applyBorder="1" applyAlignment="1">
      <alignment/>
    </xf>
    <xf numFmtId="174" fontId="3" fillId="35" borderId="26" xfId="0" applyNumberFormat="1" applyFont="1" applyFill="1" applyBorder="1" applyAlignment="1" applyProtection="1">
      <alignment/>
      <protection hidden="1"/>
    </xf>
    <xf numFmtId="174" fontId="3" fillId="35" borderId="27" xfId="0" applyNumberFormat="1" applyFont="1" applyFill="1" applyBorder="1" applyAlignment="1" applyProtection="1">
      <alignment/>
      <protection hidden="1"/>
    </xf>
    <xf numFmtId="174" fontId="3" fillId="35" borderId="45" xfId="0" applyNumberFormat="1" applyFont="1" applyFill="1" applyBorder="1" applyAlignment="1">
      <alignment/>
    </xf>
    <xf numFmtId="174" fontId="3" fillId="35" borderId="47" xfId="0" applyNumberFormat="1" applyFont="1" applyFill="1" applyBorder="1" applyAlignment="1">
      <alignment/>
    </xf>
    <xf numFmtId="0" fontId="29" fillId="11" borderId="55" xfId="52" applyFont="1" applyFill="1" applyBorder="1" applyAlignment="1">
      <alignment horizontal="center"/>
      <protection/>
    </xf>
    <xf numFmtId="0" fontId="29" fillId="11" borderId="89" xfId="52" applyFont="1" applyFill="1" applyBorder="1" applyAlignment="1">
      <alignment horizontal="center"/>
      <protection/>
    </xf>
    <xf numFmtId="3" fontId="25" fillId="5" borderId="57" xfId="52" applyNumberFormat="1" applyFont="1" applyFill="1" applyBorder="1" applyAlignment="1">
      <alignment horizontal="left"/>
      <protection/>
    </xf>
    <xf numFmtId="3" fontId="25" fillId="5" borderId="58" xfId="52" applyNumberFormat="1" applyFont="1" applyFill="1" applyBorder="1" applyAlignment="1">
      <alignment horizontal="left"/>
      <protection/>
    </xf>
    <xf numFmtId="0" fontId="25" fillId="5" borderId="59" xfId="52" applyFont="1" applyFill="1" applyBorder="1" applyAlignment="1">
      <alignment horizontal="left"/>
      <protection/>
    </xf>
    <xf numFmtId="3" fontId="25" fillId="5" borderId="119" xfId="52" applyNumberFormat="1" applyFont="1" applyFill="1" applyBorder="1" applyAlignment="1">
      <alignment horizontal="left"/>
      <protection/>
    </xf>
    <xf numFmtId="3" fontId="25" fillId="5" borderId="59" xfId="52" applyNumberFormat="1" applyFont="1" applyFill="1" applyBorder="1" applyAlignment="1">
      <alignment horizontal="left"/>
      <protection/>
    </xf>
    <xf numFmtId="0" fontId="25" fillId="5" borderId="89" xfId="52" applyFont="1" applyFill="1" applyBorder="1" applyAlignment="1">
      <alignment horizontal="center" wrapText="1"/>
      <protection/>
    </xf>
    <xf numFmtId="0" fontId="25" fillId="5" borderId="27" xfId="52" applyFont="1" applyFill="1" applyBorder="1" applyAlignment="1">
      <alignment horizontal="center" wrapText="1"/>
      <protection/>
    </xf>
    <xf numFmtId="3" fontId="40" fillId="37" borderId="0" xfId="52" applyNumberFormat="1" applyFont="1" applyFill="1" applyBorder="1" applyAlignment="1" applyProtection="1">
      <alignment/>
      <protection locked="0"/>
    </xf>
    <xf numFmtId="3" fontId="40" fillId="37" borderId="24" xfId="52" applyNumberFormat="1" applyFont="1" applyFill="1" applyBorder="1" applyAlignment="1" applyProtection="1">
      <alignment/>
      <protection locked="0"/>
    </xf>
    <xf numFmtId="3" fontId="40" fillId="37" borderId="45" xfId="52" applyNumberFormat="1" applyFont="1" applyFill="1" applyBorder="1" applyAlignment="1" applyProtection="1">
      <alignment/>
      <protection locked="0"/>
    </xf>
    <xf numFmtId="3" fontId="40" fillId="37" borderId="47" xfId="52" applyNumberFormat="1" applyFont="1" applyFill="1" applyBorder="1" applyAlignment="1" applyProtection="1">
      <alignment/>
      <protection locked="0"/>
    </xf>
    <xf numFmtId="3" fontId="40" fillId="37" borderId="0" xfId="52" applyNumberFormat="1" applyFont="1" applyFill="1" applyBorder="1">
      <alignment/>
      <protection/>
    </xf>
    <xf numFmtId="3" fontId="40" fillId="37" borderId="24" xfId="52" applyNumberFormat="1" applyFont="1" applyFill="1" applyBorder="1">
      <alignment/>
      <protection/>
    </xf>
    <xf numFmtId="3" fontId="40" fillId="37" borderId="45" xfId="52" applyNumberFormat="1" applyFont="1" applyFill="1" applyBorder="1">
      <alignment/>
      <protection/>
    </xf>
    <xf numFmtId="3" fontId="40" fillId="37" borderId="47" xfId="52" applyNumberFormat="1" applyFont="1" applyFill="1" applyBorder="1">
      <alignment/>
      <protection/>
    </xf>
    <xf numFmtId="0" fontId="11" fillId="0" borderId="41" xfId="0" applyFont="1" applyFill="1" applyBorder="1" applyAlignment="1">
      <alignment horizontal="center"/>
    </xf>
    <xf numFmtId="3" fontId="15" fillId="5" borderId="35" xfId="0" applyNumberFormat="1" applyFont="1" applyFill="1" applyBorder="1" applyAlignment="1">
      <alignment horizontal="center" wrapText="1"/>
    </xf>
    <xf numFmtId="3" fontId="15" fillId="5" borderId="120" xfId="0" applyNumberFormat="1" applyFont="1" applyFill="1" applyBorder="1" applyAlignment="1">
      <alignment horizontal="center" wrapText="1"/>
    </xf>
    <xf numFmtId="3" fontId="0" fillId="10" borderId="39" xfId="0" applyNumberFormat="1" applyFont="1" applyFill="1" applyBorder="1" applyAlignment="1">
      <alignment horizontal="center"/>
    </xf>
    <xf numFmtId="0" fontId="25" fillId="13" borderId="19" xfId="0" applyFont="1" applyFill="1" applyBorder="1" applyAlignment="1">
      <alignment horizontal="center"/>
    </xf>
    <xf numFmtId="0" fontId="11" fillId="7" borderId="49" xfId="0" applyNumberFormat="1" applyFont="1" applyFill="1" applyBorder="1" applyAlignment="1" applyProtection="1">
      <alignment horizontal="center" vertical="center"/>
      <protection hidden="1"/>
    </xf>
    <xf numFmtId="3" fontId="3" fillId="35" borderId="93" xfId="50" applyNumberFormat="1" applyFont="1" applyFill="1" applyBorder="1">
      <alignment/>
      <protection/>
    </xf>
    <xf numFmtId="3" fontId="4" fillId="35" borderId="94" xfId="50" applyNumberFormat="1" applyFont="1" applyFill="1" applyBorder="1">
      <alignment/>
      <protection/>
    </xf>
    <xf numFmtId="3" fontId="3" fillId="35" borderId="93" xfId="50" applyNumberFormat="1" applyFont="1" applyFill="1" applyBorder="1" applyProtection="1">
      <alignment/>
      <protection hidden="1"/>
    </xf>
    <xf numFmtId="3" fontId="3" fillId="37" borderId="0" xfId="52" applyNumberFormat="1" applyFont="1" applyFill="1" applyBorder="1" applyProtection="1" quotePrefix="1">
      <alignment/>
      <protection hidden="1"/>
    </xf>
    <xf numFmtId="3" fontId="3" fillId="37" borderId="93" xfId="52" applyNumberFormat="1" applyFont="1" applyFill="1" applyBorder="1" applyProtection="1" quotePrefix="1">
      <alignment/>
      <protection hidden="1"/>
    </xf>
    <xf numFmtId="3" fontId="3" fillId="37" borderId="0" xfId="52" applyNumberFormat="1" applyFont="1" applyFill="1" applyBorder="1" applyProtection="1">
      <alignment/>
      <protection hidden="1"/>
    </xf>
    <xf numFmtId="3" fontId="3" fillId="37" borderId="93" xfId="52" applyNumberFormat="1" applyFont="1" applyFill="1" applyBorder="1" applyProtection="1">
      <alignment/>
      <protection hidden="1"/>
    </xf>
    <xf numFmtId="168" fontId="3" fillId="37" borderId="0" xfId="52" applyNumberFormat="1" applyFont="1" applyFill="1" applyBorder="1" applyProtection="1">
      <alignment/>
      <protection hidden="1"/>
    </xf>
    <xf numFmtId="0" fontId="37" fillId="37" borderId="62" xfId="0" applyFont="1" applyFill="1" applyBorder="1" applyAlignment="1" applyProtection="1">
      <alignment/>
      <protection hidden="1" locked="0"/>
    </xf>
    <xf numFmtId="0" fontId="26" fillId="37" borderId="62" xfId="0" applyFont="1" applyFill="1" applyBorder="1" applyAlignment="1" applyProtection="1">
      <alignment/>
      <protection hidden="1" locked="0"/>
    </xf>
    <xf numFmtId="0" fontId="37" fillId="37" borderId="62" xfId="0" applyNumberFormat="1" applyFont="1" applyFill="1" applyBorder="1" applyAlignment="1" applyProtection="1">
      <alignment/>
      <protection hidden="1" locked="0"/>
    </xf>
    <xf numFmtId="0" fontId="37" fillId="37" borderId="63" xfId="0" applyNumberFormat="1" applyFont="1" applyFill="1" applyBorder="1" applyAlignment="1" applyProtection="1">
      <alignment/>
      <protection hidden="1" locked="0"/>
    </xf>
    <xf numFmtId="3" fontId="40" fillId="37" borderId="0" xfId="0" applyNumberFormat="1" applyFont="1" applyFill="1" applyBorder="1" applyAlignment="1" applyProtection="1">
      <alignment/>
      <protection hidden="1" locked="0"/>
    </xf>
    <xf numFmtId="3" fontId="40" fillId="37" borderId="24" xfId="0" applyNumberFormat="1" applyFont="1" applyFill="1" applyBorder="1" applyAlignment="1" applyProtection="1">
      <alignment/>
      <protection hidden="1" locked="0"/>
    </xf>
    <xf numFmtId="3" fontId="40" fillId="37" borderId="0" xfId="0" applyNumberFormat="1" applyFont="1" applyFill="1" applyBorder="1" applyAlignment="1" applyProtection="1">
      <alignment/>
      <protection locked="0"/>
    </xf>
    <xf numFmtId="3" fontId="40" fillId="37" borderId="24" xfId="0" applyNumberFormat="1" applyFont="1" applyFill="1" applyBorder="1" applyAlignment="1" applyProtection="1">
      <alignment/>
      <protection locked="0"/>
    </xf>
    <xf numFmtId="3" fontId="40" fillId="37" borderId="0" xfId="0" applyNumberFormat="1" applyFont="1" applyFill="1" applyBorder="1" applyAlignment="1" applyProtection="1">
      <alignment/>
      <protection hidden="1" locked="0"/>
    </xf>
    <xf numFmtId="3" fontId="40" fillId="37" borderId="24" xfId="0" applyNumberFormat="1" applyFont="1" applyFill="1" applyBorder="1" applyAlignment="1" applyProtection="1">
      <alignment/>
      <protection hidden="1" locked="0"/>
    </xf>
    <xf numFmtId="3" fontId="40" fillId="37" borderId="45" xfId="0" applyNumberFormat="1" applyFont="1" applyFill="1" applyBorder="1" applyAlignment="1" applyProtection="1">
      <alignment/>
      <protection locked="0"/>
    </xf>
    <xf numFmtId="3" fontId="40" fillId="37" borderId="47" xfId="0" applyNumberFormat="1" applyFont="1" applyFill="1" applyBorder="1" applyAlignment="1" applyProtection="1">
      <alignment/>
      <protection locked="0"/>
    </xf>
    <xf numFmtId="49" fontId="25" fillId="37" borderId="0" xfId="0" applyNumberFormat="1" applyFont="1" applyFill="1" applyAlignment="1">
      <alignment/>
    </xf>
    <xf numFmtId="0" fontId="25" fillId="0" borderId="0" xfId="0" applyFont="1" applyFill="1" applyAlignment="1">
      <alignment/>
    </xf>
    <xf numFmtId="0" fontId="13" fillId="37" borderId="62" xfId="0" applyFont="1" applyFill="1" applyBorder="1" applyAlignment="1" applyProtection="1">
      <alignment horizontal="left"/>
      <protection locked="0"/>
    </xf>
    <xf numFmtId="0" fontId="13" fillId="37" borderId="63" xfId="0" applyFont="1" applyFill="1" applyBorder="1" applyAlignment="1" applyProtection="1">
      <alignment horizontal="left"/>
      <protection locked="0"/>
    </xf>
    <xf numFmtId="3" fontId="3" fillId="37" borderId="0" xfId="0" applyNumberFormat="1" applyFont="1" applyFill="1" applyBorder="1" applyAlignment="1" applyProtection="1">
      <alignment/>
      <protection locked="0"/>
    </xf>
    <xf numFmtId="3" fontId="3" fillId="37" borderId="24" xfId="0" applyNumberFormat="1" applyFont="1" applyFill="1" applyBorder="1" applyAlignment="1" applyProtection="1">
      <alignment/>
      <protection locked="0"/>
    </xf>
    <xf numFmtId="3" fontId="3" fillId="37" borderId="45" xfId="0" applyNumberFormat="1" applyFont="1" applyFill="1" applyBorder="1" applyAlignment="1" applyProtection="1">
      <alignment/>
      <protection locked="0"/>
    </xf>
    <xf numFmtId="3" fontId="3" fillId="37" borderId="47" xfId="0" applyNumberFormat="1" applyFont="1" applyFill="1" applyBorder="1" applyAlignment="1" applyProtection="1">
      <alignment/>
      <protection locked="0"/>
    </xf>
    <xf numFmtId="10" fontId="13" fillId="37" borderId="27" xfId="0" applyNumberFormat="1" applyFont="1" applyFill="1" applyBorder="1" applyAlignment="1" applyProtection="1">
      <alignment horizontal="center" wrapText="1"/>
      <protection locked="0"/>
    </xf>
    <xf numFmtId="3" fontId="3" fillId="37" borderId="21" xfId="0" applyNumberFormat="1" applyFont="1" applyFill="1" applyBorder="1" applyAlignment="1" applyProtection="1">
      <alignment/>
      <protection hidden="1" locked="0"/>
    </xf>
    <xf numFmtId="3" fontId="3" fillId="37" borderId="22" xfId="0" applyNumberFormat="1" applyFont="1" applyFill="1" applyBorder="1" applyAlignment="1" applyProtection="1">
      <alignment/>
      <protection hidden="1" locked="0"/>
    </xf>
    <xf numFmtId="3" fontId="3" fillId="37" borderId="21" xfId="0" applyNumberFormat="1" applyFont="1" applyFill="1" applyBorder="1" applyAlignment="1" applyProtection="1">
      <alignment/>
      <protection locked="0"/>
    </xf>
    <xf numFmtId="3" fontId="3" fillId="37" borderId="22" xfId="0" applyNumberFormat="1" applyFont="1" applyFill="1" applyBorder="1" applyAlignment="1" applyProtection="1">
      <alignment/>
      <protection locked="0"/>
    </xf>
    <xf numFmtId="3" fontId="3" fillId="37" borderId="0" xfId="0" applyNumberFormat="1" applyFont="1" applyFill="1" applyBorder="1" applyAlignment="1" applyProtection="1">
      <alignment/>
      <protection hidden="1" locked="0"/>
    </xf>
    <xf numFmtId="3" fontId="3" fillId="37" borderId="24" xfId="0" applyNumberFormat="1" applyFont="1" applyFill="1" applyBorder="1" applyAlignment="1" applyProtection="1">
      <alignment/>
      <protection hidden="1" locked="0"/>
    </xf>
    <xf numFmtId="3" fontId="3" fillId="37" borderId="44" xfId="0" applyNumberFormat="1" applyFont="1" applyFill="1" applyBorder="1" applyAlignment="1" applyProtection="1">
      <alignment/>
      <protection locked="0"/>
    </xf>
    <xf numFmtId="3" fontId="3" fillId="37" borderId="50" xfId="0" applyNumberFormat="1" applyFont="1" applyFill="1" applyBorder="1" applyAlignment="1" applyProtection="1">
      <alignment/>
      <protection locked="0"/>
    </xf>
    <xf numFmtId="3" fontId="3" fillId="0" borderId="45" xfId="0" applyNumberFormat="1" applyFont="1" applyFill="1" applyBorder="1" applyAlignment="1" applyProtection="1">
      <alignment/>
      <protection locked="0"/>
    </xf>
    <xf numFmtId="3" fontId="3" fillId="0" borderId="33" xfId="0" applyNumberFormat="1" applyFont="1" applyFill="1" applyBorder="1" applyAlignment="1">
      <alignment/>
    </xf>
    <xf numFmtId="3" fontId="12" fillId="35" borderId="121" xfId="0" applyNumberFormat="1" applyFont="1" applyFill="1" applyBorder="1" applyAlignment="1" applyProtection="1">
      <alignment/>
      <protection hidden="1"/>
    </xf>
    <xf numFmtId="0" fontId="12" fillId="35" borderId="34" xfId="0" applyNumberFormat="1" applyFont="1" applyFill="1" applyBorder="1" applyAlignment="1" applyProtection="1">
      <alignment/>
      <protection hidden="1"/>
    </xf>
    <xf numFmtId="3" fontId="12" fillId="35" borderId="34" xfId="0" applyNumberFormat="1" applyFont="1" applyFill="1" applyBorder="1" applyAlignment="1" applyProtection="1">
      <alignment/>
      <protection hidden="1"/>
    </xf>
    <xf numFmtId="10" fontId="97" fillId="7" borderId="24" xfId="56" applyNumberFormat="1" applyFont="1" applyFill="1" applyBorder="1" applyAlignment="1" applyProtection="1">
      <alignment horizontal="center"/>
      <protection hidden="1"/>
    </xf>
    <xf numFmtId="10" fontId="97" fillId="7" borderId="47" xfId="56" applyNumberFormat="1" applyFont="1" applyFill="1" applyBorder="1" applyAlignment="1" applyProtection="1">
      <alignment horizontal="center"/>
      <protection hidden="1"/>
    </xf>
    <xf numFmtId="9" fontId="97" fillId="7" borderId="22" xfId="0" applyNumberFormat="1" applyFont="1" applyFill="1" applyBorder="1" applyAlignment="1" applyProtection="1">
      <alignment horizontal="center"/>
      <protection hidden="1"/>
    </xf>
    <xf numFmtId="3" fontId="11" fillId="4" borderId="27" xfId="0" applyNumberFormat="1" applyFont="1" applyFill="1" applyBorder="1" applyAlignment="1" applyProtection="1">
      <alignment horizontal="center"/>
      <protection hidden="1"/>
    </xf>
    <xf numFmtId="3" fontId="12" fillId="4" borderId="47" xfId="0" applyNumberFormat="1" applyFont="1" applyFill="1" applyBorder="1" applyAlignment="1" applyProtection="1">
      <alignment horizontal="center"/>
      <protection hidden="1"/>
    </xf>
    <xf numFmtId="0" fontId="3" fillId="35" borderId="0" xfId="49" applyFont="1" applyFill="1" applyBorder="1" applyProtection="1">
      <alignment/>
      <protection/>
    </xf>
    <xf numFmtId="0" fontId="0" fillId="35" borderId="0" xfId="0" applyFill="1" applyAlignment="1" applyProtection="1">
      <alignment/>
      <protection/>
    </xf>
    <xf numFmtId="0" fontId="9" fillId="10" borderId="41" xfId="0" applyFont="1" applyFill="1" applyBorder="1" applyAlignment="1" applyProtection="1">
      <alignment horizontal="center"/>
      <protection/>
    </xf>
    <xf numFmtId="0" fontId="13" fillId="10" borderId="60" xfId="0" applyFont="1" applyFill="1" applyBorder="1" applyAlignment="1" applyProtection="1">
      <alignment horizontal="left"/>
      <protection/>
    </xf>
    <xf numFmtId="0" fontId="13" fillId="4" borderId="23" xfId="0" applyFont="1" applyFill="1" applyBorder="1" applyAlignment="1" applyProtection="1">
      <alignment horizontal="left"/>
      <protection/>
    </xf>
    <xf numFmtId="0" fontId="13" fillId="4" borderId="62" xfId="0" applyFont="1" applyFill="1" applyBorder="1" applyAlignment="1" applyProtection="1">
      <alignment horizontal="left"/>
      <protection/>
    </xf>
    <xf numFmtId="3" fontId="3" fillId="37" borderId="0" xfId="0" applyNumberFormat="1" applyFont="1" applyFill="1" applyBorder="1" applyAlignment="1" applyProtection="1">
      <alignment/>
      <protection/>
    </xf>
    <xf numFmtId="0" fontId="13" fillId="4" borderId="63" xfId="0" applyFont="1" applyFill="1" applyBorder="1" applyAlignment="1" applyProtection="1">
      <alignment horizontal="left"/>
      <protection/>
    </xf>
    <xf numFmtId="10" fontId="3" fillId="37" borderId="45" xfId="56" applyNumberFormat="1" applyFont="1" applyFill="1" applyBorder="1" applyAlignment="1" applyProtection="1">
      <alignment/>
      <protection/>
    </xf>
    <xf numFmtId="3" fontId="4" fillId="35" borderId="26" xfId="0" applyNumberFormat="1" applyFont="1" applyFill="1" applyBorder="1" applyAlignment="1" applyProtection="1">
      <alignment/>
      <protection/>
    </xf>
    <xf numFmtId="0" fontId="13" fillId="10" borderId="26" xfId="0" applyFont="1" applyFill="1" applyBorder="1" applyAlignment="1" applyProtection="1">
      <alignment horizontal="left"/>
      <protection/>
    </xf>
    <xf numFmtId="0" fontId="13" fillId="4" borderId="0" xfId="0" applyFont="1" applyFill="1" applyBorder="1" applyAlignment="1" applyProtection="1">
      <alignment horizontal="left"/>
      <protection/>
    </xf>
    <xf numFmtId="3" fontId="3" fillId="37" borderId="0" xfId="0" applyNumberFormat="1" applyFont="1" applyFill="1" applyBorder="1" applyAlignment="1" applyProtection="1">
      <alignment/>
      <protection/>
    </xf>
    <xf numFmtId="3" fontId="3" fillId="37" borderId="24" xfId="0" applyNumberFormat="1" applyFont="1" applyFill="1" applyBorder="1" applyAlignment="1" applyProtection="1">
      <alignment/>
      <protection/>
    </xf>
    <xf numFmtId="0" fontId="13" fillId="4" borderId="49" xfId="0" applyFont="1" applyFill="1" applyBorder="1" applyAlignment="1" applyProtection="1">
      <alignment horizontal="left"/>
      <protection/>
    </xf>
    <xf numFmtId="0" fontId="13" fillId="4" borderId="45" xfId="0" applyFont="1" applyFill="1" applyBorder="1" applyAlignment="1" applyProtection="1">
      <alignment horizontal="left"/>
      <protection/>
    </xf>
    <xf numFmtId="0" fontId="13" fillId="4" borderId="122" xfId="0" applyFont="1" applyFill="1" applyBorder="1" applyAlignment="1" applyProtection="1">
      <alignment horizontal="left"/>
      <protection/>
    </xf>
    <xf numFmtId="3" fontId="12" fillId="37" borderId="123" xfId="0" applyNumberFormat="1" applyFont="1" applyFill="1" applyBorder="1" applyAlignment="1" applyProtection="1">
      <alignment/>
      <protection hidden="1"/>
    </xf>
    <xf numFmtId="3" fontId="3" fillId="35" borderId="91" xfId="0" applyNumberFormat="1" applyFont="1" applyFill="1" applyBorder="1" applyAlignment="1" applyProtection="1">
      <alignment/>
      <protection/>
    </xf>
    <xf numFmtId="0" fontId="13" fillId="4" borderId="124" xfId="0" applyFont="1" applyFill="1" applyBorder="1" applyAlignment="1" applyProtection="1">
      <alignment horizontal="left"/>
      <protection/>
    </xf>
    <xf numFmtId="3" fontId="12" fillId="35" borderId="125" xfId="0" applyNumberFormat="1" applyFont="1" applyFill="1" applyBorder="1" applyAlignment="1" applyProtection="1">
      <alignment/>
      <protection hidden="1"/>
    </xf>
    <xf numFmtId="3" fontId="3" fillId="35" borderId="92" xfId="0" applyNumberFormat="1" applyFont="1" applyFill="1" applyBorder="1" applyAlignment="1" applyProtection="1">
      <alignment/>
      <protection/>
    </xf>
    <xf numFmtId="0" fontId="13" fillId="4" borderId="91" xfId="0" applyFont="1" applyFill="1" applyBorder="1" applyAlignment="1" applyProtection="1">
      <alignment horizontal="left"/>
      <protection/>
    </xf>
    <xf numFmtId="3" fontId="11" fillId="4" borderId="123" xfId="0" applyNumberFormat="1" applyFont="1" applyFill="1" applyBorder="1" applyAlignment="1" applyProtection="1">
      <alignment/>
      <protection hidden="1"/>
    </xf>
    <xf numFmtId="3" fontId="3" fillId="35" borderId="91" xfId="0" applyNumberFormat="1" applyFont="1" applyFill="1" applyBorder="1" applyAlignment="1" applyProtection="1">
      <alignment/>
      <protection/>
    </xf>
    <xf numFmtId="0" fontId="13" fillId="4" borderId="92" xfId="0" applyFont="1" applyFill="1" applyBorder="1" applyAlignment="1" applyProtection="1">
      <alignment horizontal="left"/>
      <protection/>
    </xf>
    <xf numFmtId="3" fontId="11" fillId="4" borderId="125" xfId="0" applyNumberFormat="1" applyFont="1" applyFill="1" applyBorder="1" applyAlignment="1" applyProtection="1">
      <alignment/>
      <protection hidden="1"/>
    </xf>
    <xf numFmtId="3" fontId="3" fillId="35" borderId="97" xfId="0" applyNumberFormat="1" applyFont="1" applyFill="1" applyBorder="1" applyAlignment="1" applyProtection="1">
      <alignment/>
      <protection/>
    </xf>
    <xf numFmtId="3" fontId="4" fillId="35" borderId="126" xfId="0" applyNumberFormat="1" applyFont="1" applyFill="1" applyBorder="1" applyAlignment="1" applyProtection="1">
      <alignment/>
      <protection/>
    </xf>
    <xf numFmtId="3" fontId="3" fillId="35" borderId="97" xfId="0" applyNumberFormat="1" applyFont="1" applyFill="1" applyBorder="1" applyAlignment="1" applyProtection="1">
      <alignment/>
      <protection/>
    </xf>
    <xf numFmtId="10" fontId="3" fillId="37" borderId="127" xfId="56" applyNumberFormat="1" applyFont="1" applyFill="1" applyBorder="1" applyAlignment="1" applyProtection="1">
      <alignment/>
      <protection/>
    </xf>
    <xf numFmtId="10" fontId="3" fillId="37" borderId="45" xfId="56" applyNumberFormat="1" applyFont="1" applyFill="1" applyBorder="1" applyAlignment="1" applyProtection="1">
      <alignment/>
      <protection/>
    </xf>
    <xf numFmtId="10" fontId="3" fillId="37" borderId="127" xfId="56" applyNumberFormat="1" applyFont="1" applyFill="1" applyBorder="1" applyAlignment="1" applyProtection="1">
      <alignment/>
      <protection/>
    </xf>
    <xf numFmtId="0" fontId="0" fillId="35" borderId="93" xfId="0" applyFill="1" applyBorder="1" applyAlignment="1" applyProtection="1">
      <alignment/>
      <protection/>
    </xf>
    <xf numFmtId="3" fontId="98" fillId="34" borderId="24" xfId="0" applyNumberFormat="1" applyFont="1" applyFill="1" applyBorder="1" applyAlignment="1" applyProtection="1">
      <alignment/>
      <protection hidden="1"/>
    </xf>
    <xf numFmtId="167" fontId="37" fillId="34" borderId="26" xfId="56" applyNumberFormat="1" applyFont="1" applyFill="1" applyBorder="1" applyAlignment="1" applyProtection="1">
      <alignment horizontal="center"/>
      <protection hidden="1"/>
    </xf>
    <xf numFmtId="0" fontId="99" fillId="36" borderId="39" xfId="0" applyFont="1" applyFill="1" applyBorder="1" applyAlignment="1" applyProtection="1">
      <alignment horizontal="center"/>
      <protection hidden="1"/>
    </xf>
    <xf numFmtId="180" fontId="98" fillId="34" borderId="128" xfId="0" applyNumberFormat="1" applyFont="1" applyFill="1" applyBorder="1" applyAlignment="1">
      <alignment horizontal="right"/>
    </xf>
    <xf numFmtId="180" fontId="98" fillId="34" borderId="93" xfId="0" applyNumberFormat="1" applyFont="1" applyFill="1" applyBorder="1" applyAlignment="1">
      <alignment horizontal="right"/>
    </xf>
    <xf numFmtId="180" fontId="98" fillId="34" borderId="93" xfId="0" applyNumberFormat="1" applyFont="1" applyFill="1" applyBorder="1" applyAlignment="1" applyProtection="1">
      <alignment horizontal="right"/>
      <protection hidden="1"/>
    </xf>
    <xf numFmtId="180" fontId="100" fillId="34" borderId="129" xfId="0" applyNumberFormat="1" applyFont="1" applyFill="1" applyBorder="1" applyAlignment="1" applyProtection="1">
      <alignment horizontal="right"/>
      <protection hidden="1"/>
    </xf>
    <xf numFmtId="180" fontId="98" fillId="34" borderId="126" xfId="0" applyNumberFormat="1" applyFont="1" applyFill="1" applyBorder="1" applyAlignment="1" applyProtection="1">
      <alignment horizontal="right"/>
      <protection hidden="1"/>
    </xf>
    <xf numFmtId="3" fontId="37" fillId="35" borderId="130" xfId="37" applyNumberFormat="1" applyFont="1" applyFill="1" applyBorder="1" applyAlignment="1" applyProtection="1">
      <alignment horizontal="right"/>
      <protection hidden="1"/>
    </xf>
    <xf numFmtId="3" fontId="37" fillId="35" borderId="24" xfId="37" applyNumberFormat="1" applyFont="1" applyFill="1" applyBorder="1" applyAlignment="1" applyProtection="1">
      <alignment horizontal="right"/>
      <protection hidden="1"/>
    </xf>
    <xf numFmtId="3" fontId="37" fillId="35" borderId="34" xfId="37" applyNumberFormat="1" applyFont="1" applyFill="1" applyBorder="1" applyAlignment="1" applyProtection="1">
      <alignment horizontal="right"/>
      <protection hidden="1"/>
    </xf>
    <xf numFmtId="3" fontId="37" fillId="35" borderId="131" xfId="37" applyNumberFormat="1" applyFont="1" applyFill="1" applyBorder="1" applyAlignment="1" applyProtection="1">
      <alignment horizontal="right"/>
      <protection hidden="1"/>
    </xf>
    <xf numFmtId="3" fontId="45" fillId="37" borderId="38" xfId="0" applyNumberFormat="1" applyFont="1" applyFill="1" applyBorder="1" applyAlignment="1" applyProtection="1">
      <alignment/>
      <protection locked="0"/>
    </xf>
    <xf numFmtId="3" fontId="45" fillId="37" borderId="61" xfId="0" applyNumberFormat="1" applyFont="1" applyFill="1" applyBorder="1" applyAlignment="1" applyProtection="1">
      <alignment/>
      <protection locked="0"/>
    </xf>
    <xf numFmtId="0" fontId="11" fillId="7" borderId="132" xfId="0" applyFont="1" applyFill="1" applyBorder="1" applyAlignment="1" applyProtection="1">
      <alignment/>
      <protection hidden="1"/>
    </xf>
    <xf numFmtId="0" fontId="11" fillId="7" borderId="133" xfId="0" applyFont="1" applyFill="1" applyBorder="1" applyAlignment="1" applyProtection="1">
      <alignment/>
      <protection hidden="1"/>
    </xf>
    <xf numFmtId="0" fontId="10" fillId="13" borderId="134" xfId="0" applyFont="1" applyFill="1" applyBorder="1" applyAlignment="1" applyProtection="1">
      <alignment horizontal="left"/>
      <protection hidden="1"/>
    </xf>
    <xf numFmtId="0" fontId="10" fillId="13" borderId="22" xfId="0" applyFont="1" applyFill="1" applyBorder="1" applyAlignment="1" applyProtection="1">
      <alignment horizontal="left"/>
      <protection hidden="1"/>
    </xf>
    <xf numFmtId="0" fontId="4" fillId="13" borderId="135" xfId="0" applyFont="1" applyFill="1" applyBorder="1" applyAlignment="1" applyProtection="1">
      <alignment/>
      <protection hidden="1"/>
    </xf>
    <xf numFmtId="0" fontId="13" fillId="5" borderId="136" xfId="0" applyFont="1" applyFill="1" applyBorder="1" applyAlignment="1">
      <alignment wrapText="1"/>
    </xf>
    <xf numFmtId="3" fontId="13" fillId="5" borderId="137" xfId="0" applyNumberFormat="1" applyFont="1" applyFill="1" applyBorder="1" applyAlignment="1">
      <alignment horizontal="center" wrapText="1"/>
    </xf>
    <xf numFmtId="3" fontId="3" fillId="0" borderId="47" xfId="0" applyNumberFormat="1" applyFont="1" applyFill="1" applyBorder="1" applyAlignment="1">
      <alignment/>
    </xf>
    <xf numFmtId="3" fontId="3" fillId="37" borderId="0" xfId="0" applyNumberFormat="1" applyFont="1" applyFill="1" applyBorder="1" applyAlignment="1" applyProtection="1">
      <alignment/>
      <protection hidden="1"/>
    </xf>
    <xf numFmtId="3" fontId="3" fillId="37" borderId="24" xfId="0" applyNumberFormat="1" applyFont="1" applyFill="1" applyBorder="1" applyAlignment="1" applyProtection="1">
      <alignment/>
      <protection hidden="1"/>
    </xf>
    <xf numFmtId="3" fontId="3" fillId="37" borderId="0" xfId="0" applyNumberFormat="1" applyFont="1" applyFill="1" applyBorder="1" applyAlignment="1" applyProtection="1">
      <alignment/>
      <protection locked="0"/>
    </xf>
    <xf numFmtId="3" fontId="3" fillId="37" borderId="24" xfId="0" applyNumberFormat="1" applyFont="1" applyFill="1" applyBorder="1" applyAlignment="1" applyProtection="1">
      <alignment/>
      <protection locked="0"/>
    </xf>
    <xf numFmtId="3" fontId="3" fillId="37" borderId="45" xfId="0" applyNumberFormat="1" applyFont="1" applyFill="1" applyBorder="1" applyAlignment="1" applyProtection="1">
      <alignment vertical="center"/>
      <protection hidden="1"/>
    </xf>
    <xf numFmtId="3" fontId="3" fillId="37" borderId="47" xfId="0" applyNumberFormat="1" applyFont="1" applyFill="1" applyBorder="1" applyAlignment="1" applyProtection="1">
      <alignment vertical="center"/>
      <protection hidden="1"/>
    </xf>
    <xf numFmtId="0" fontId="12" fillId="37" borderId="0" xfId="0" applyFont="1" applyFill="1" applyBorder="1" applyAlignment="1" applyProtection="1">
      <alignment horizontal="center" vertical="center"/>
      <protection hidden="1" locked="0"/>
    </xf>
    <xf numFmtId="0" fontId="12" fillId="37" borderId="24" xfId="0" applyFont="1" applyFill="1" applyBorder="1" applyAlignment="1" applyProtection="1">
      <alignment horizontal="center" vertical="center"/>
      <protection hidden="1" locked="0"/>
    </xf>
    <xf numFmtId="0" fontId="12" fillId="37" borderId="45" xfId="0" applyFont="1" applyFill="1" applyBorder="1" applyAlignment="1" applyProtection="1">
      <alignment horizontal="center" vertical="center"/>
      <protection hidden="1" locked="0"/>
    </xf>
    <xf numFmtId="0" fontId="12" fillId="37" borderId="47" xfId="0" applyFont="1" applyFill="1" applyBorder="1" applyAlignment="1" applyProtection="1">
      <alignment horizontal="center" vertical="center"/>
      <protection hidden="1" locked="0"/>
    </xf>
    <xf numFmtId="3" fontId="3" fillId="37" borderId="0" xfId="0" applyNumberFormat="1" applyFont="1" applyFill="1" applyBorder="1" applyAlignment="1" applyProtection="1">
      <alignment horizontal="center"/>
      <protection hidden="1" locked="0"/>
    </xf>
    <xf numFmtId="3" fontId="3" fillId="37" borderId="24" xfId="0" applyNumberFormat="1" applyFont="1" applyFill="1" applyBorder="1" applyAlignment="1" applyProtection="1">
      <alignment horizontal="center"/>
      <protection hidden="1" locked="0"/>
    </xf>
    <xf numFmtId="3" fontId="3" fillId="37" borderId="26" xfId="0" applyNumberFormat="1" applyFont="1" applyFill="1" applyBorder="1" applyAlignment="1" applyProtection="1">
      <alignment horizontal="center"/>
      <protection hidden="1" locked="0"/>
    </xf>
    <xf numFmtId="3" fontId="3" fillId="37" borderId="27" xfId="0" applyNumberFormat="1" applyFont="1" applyFill="1" applyBorder="1" applyAlignment="1" applyProtection="1">
      <alignment horizontal="center"/>
      <protection hidden="1" locked="0"/>
    </xf>
    <xf numFmtId="4" fontId="37" fillId="37" borderId="61" xfId="49" applyNumberFormat="1" applyFont="1" applyFill="1" applyBorder="1" applyProtection="1">
      <alignment/>
      <protection hidden="1" locked="0"/>
    </xf>
    <xf numFmtId="3" fontId="37" fillId="37" borderId="21" xfId="0" applyNumberFormat="1" applyFont="1" applyFill="1" applyBorder="1" applyAlignment="1" applyProtection="1">
      <alignment/>
      <protection hidden="1"/>
    </xf>
    <xf numFmtId="3" fontId="37" fillId="37" borderId="22" xfId="0" applyNumberFormat="1" applyFont="1" applyFill="1" applyBorder="1" applyAlignment="1" applyProtection="1">
      <alignment/>
      <protection hidden="1"/>
    </xf>
    <xf numFmtId="3" fontId="37" fillId="37" borderId="0" xfId="0" applyNumberFormat="1" applyFont="1" applyFill="1" applyBorder="1" applyAlignment="1" applyProtection="1">
      <alignment/>
      <protection hidden="1"/>
    </xf>
    <xf numFmtId="3" fontId="37" fillId="37" borderId="24" xfId="0" applyNumberFormat="1" applyFont="1" applyFill="1" applyBorder="1" applyAlignment="1" applyProtection="1">
      <alignment/>
      <protection hidden="1"/>
    </xf>
    <xf numFmtId="3" fontId="37" fillId="37" borderId="0" xfId="0" applyNumberFormat="1" applyFont="1" applyFill="1" applyBorder="1" applyAlignment="1">
      <alignment horizontal="right"/>
    </xf>
    <xf numFmtId="3" fontId="37" fillId="37" borderId="0" xfId="0" applyNumberFormat="1" applyFont="1" applyFill="1" applyBorder="1" applyAlignment="1" applyProtection="1">
      <alignment horizontal="right"/>
      <protection hidden="1"/>
    </xf>
    <xf numFmtId="0" fontId="101" fillId="34" borderId="0" xfId="0" applyFont="1" applyFill="1" applyBorder="1" applyAlignment="1">
      <alignment horizontal="left"/>
    </xf>
    <xf numFmtId="0" fontId="95" fillId="37" borderId="4" xfId="0" applyFont="1" applyFill="1" applyBorder="1" applyAlignment="1" applyProtection="1">
      <alignment horizontal="center"/>
      <protection locked="0"/>
    </xf>
    <xf numFmtId="167" fontId="27" fillId="37" borderId="19" xfId="0" applyNumberFormat="1" applyFont="1" applyFill="1" applyBorder="1" applyAlignment="1" applyProtection="1">
      <alignment horizontal="center"/>
      <protection locked="0"/>
    </xf>
    <xf numFmtId="0" fontId="27" fillId="37" borderId="19" xfId="0" applyFont="1" applyFill="1" applyBorder="1" applyAlignment="1" applyProtection="1">
      <alignment horizontal="center"/>
      <protection locked="0"/>
    </xf>
    <xf numFmtId="10" fontId="29" fillId="37" borderId="19" xfId="56" applyNumberFormat="1" applyFont="1" applyFill="1" applyBorder="1" applyAlignment="1" applyProtection="1">
      <alignment horizontal="center" vertical="center" wrapText="1"/>
      <protection locked="0"/>
    </xf>
    <xf numFmtId="16" fontId="33" fillId="36" borderId="19" xfId="0" applyNumberFormat="1" applyFont="1" applyFill="1" applyBorder="1" applyAlignment="1">
      <alignment horizontal="center"/>
    </xf>
    <xf numFmtId="10" fontId="13" fillId="37" borderId="81" xfId="0" applyNumberFormat="1" applyFont="1" applyFill="1" applyBorder="1" applyAlignment="1">
      <alignment horizontal="center" wrapText="1"/>
    </xf>
    <xf numFmtId="10" fontId="13" fillId="37" borderId="24" xfId="0" applyNumberFormat="1" applyFont="1" applyFill="1" applyBorder="1" applyAlignment="1">
      <alignment horizontal="center" wrapText="1"/>
    </xf>
    <xf numFmtId="10" fontId="13" fillId="37" borderId="138" xfId="0" applyNumberFormat="1" applyFont="1" applyFill="1" applyBorder="1" applyAlignment="1">
      <alignment horizontal="center" wrapText="1"/>
    </xf>
    <xf numFmtId="9" fontId="13" fillId="37" borderId="81" xfId="0" applyNumberFormat="1" applyFont="1" applyFill="1" applyBorder="1" applyAlignment="1">
      <alignment horizontal="center" wrapText="1"/>
    </xf>
    <xf numFmtId="3" fontId="13" fillId="37" borderId="24" xfId="0" applyNumberFormat="1" applyFont="1" applyFill="1" applyBorder="1" applyAlignment="1">
      <alignment horizontal="center" wrapText="1"/>
    </xf>
    <xf numFmtId="3" fontId="13" fillId="37" borderId="138" xfId="0" applyNumberFormat="1" applyFont="1" applyFill="1" applyBorder="1" applyAlignment="1">
      <alignment horizontal="center" wrapText="1"/>
    </xf>
    <xf numFmtId="0" fontId="53" fillId="5" borderId="81" xfId="0" applyFont="1" applyFill="1" applyBorder="1" applyAlignment="1">
      <alignment horizontal="left"/>
    </xf>
    <xf numFmtId="3" fontId="40" fillId="35" borderId="0" xfId="0" applyNumberFormat="1" applyFont="1" applyFill="1" applyBorder="1" applyAlignment="1">
      <alignment horizontal="left"/>
    </xf>
    <xf numFmtId="3" fontId="3" fillId="37" borderId="139" xfId="0" applyNumberFormat="1" applyFont="1" applyFill="1" applyBorder="1" applyAlignment="1" applyProtection="1">
      <alignment/>
      <protection locked="0"/>
    </xf>
    <xf numFmtId="3" fontId="3" fillId="37" borderId="140" xfId="0" applyNumberFormat="1" applyFont="1" applyFill="1" applyBorder="1" applyAlignment="1" applyProtection="1">
      <alignment/>
      <protection locked="0"/>
    </xf>
    <xf numFmtId="3" fontId="3" fillId="37" borderId="141" xfId="0" applyNumberFormat="1" applyFont="1" applyFill="1" applyBorder="1" applyAlignment="1" applyProtection="1">
      <alignment/>
      <protection locked="0"/>
    </xf>
    <xf numFmtId="2" fontId="13" fillId="37" borderId="27" xfId="0" applyNumberFormat="1" applyFont="1" applyFill="1" applyBorder="1" applyAlignment="1" applyProtection="1">
      <alignment horizontal="center"/>
      <protection hidden="1"/>
    </xf>
    <xf numFmtId="9" fontId="11" fillId="7" borderId="23" xfId="0" applyNumberFormat="1" applyFont="1" applyFill="1" applyBorder="1" applyAlignment="1" applyProtection="1">
      <alignment vertical="center"/>
      <protection hidden="1"/>
    </xf>
    <xf numFmtId="2" fontId="39" fillId="37" borderId="23" xfId="0" applyNumberFormat="1" applyFont="1" applyFill="1" applyBorder="1" applyAlignment="1" applyProtection="1">
      <alignment horizontal="center"/>
      <protection hidden="1"/>
    </xf>
    <xf numFmtId="2" fontId="39" fillId="37" borderId="23" xfId="0" applyNumberFormat="1" applyFont="1" applyFill="1" applyBorder="1" applyAlignment="1" applyProtection="1" quotePrefix="1">
      <alignment horizontal="center"/>
      <protection hidden="1"/>
    </xf>
    <xf numFmtId="2" fontId="39" fillId="37" borderId="49" xfId="0" applyNumberFormat="1" applyFont="1" applyFill="1" applyBorder="1" applyAlignment="1" applyProtection="1" quotePrefix="1">
      <alignment horizontal="center"/>
      <protection hidden="1"/>
    </xf>
    <xf numFmtId="3" fontId="25" fillId="35" borderId="119" xfId="52" applyNumberFormat="1" applyFont="1" applyFill="1" applyBorder="1" applyAlignment="1">
      <alignment horizontal="center"/>
      <protection/>
    </xf>
    <xf numFmtId="3" fontId="25" fillId="35" borderId="141" xfId="52" applyNumberFormat="1" applyFont="1" applyFill="1" applyBorder="1" applyAlignment="1">
      <alignment horizontal="center"/>
      <protection/>
    </xf>
    <xf numFmtId="3" fontId="25" fillId="35" borderId="37" xfId="52" applyNumberFormat="1" applyFont="1" applyFill="1" applyBorder="1" applyAlignment="1">
      <alignment horizontal="center"/>
      <protection/>
    </xf>
    <xf numFmtId="3" fontId="25" fillId="35" borderId="59" xfId="52" applyNumberFormat="1" applyFont="1" applyFill="1" applyBorder="1" applyAlignment="1">
      <alignment horizontal="center"/>
      <protection/>
    </xf>
    <xf numFmtId="3" fontId="25" fillId="35" borderId="53" xfId="52" applyNumberFormat="1" applyFont="1" applyFill="1" applyBorder="1" applyAlignment="1">
      <alignment horizontal="center"/>
      <protection/>
    </xf>
    <xf numFmtId="0" fontId="13" fillId="37" borderId="62" xfId="0" applyFont="1" applyFill="1" applyBorder="1" applyAlignment="1" applyProtection="1">
      <alignment horizontal="left" wrapText="1"/>
      <protection locked="0"/>
    </xf>
    <xf numFmtId="3" fontId="45" fillId="35" borderId="22" xfId="0" applyNumberFormat="1" applyFont="1" applyFill="1" applyBorder="1" applyAlignment="1">
      <alignment/>
    </xf>
    <xf numFmtId="3" fontId="45" fillId="35" borderId="24" xfId="0" applyNumberFormat="1" applyFont="1" applyFill="1" applyBorder="1" applyAlignment="1">
      <alignment/>
    </xf>
    <xf numFmtId="3" fontId="45" fillId="35" borderId="47" xfId="0" applyNumberFormat="1" applyFont="1" applyFill="1" applyBorder="1" applyAlignment="1">
      <alignment/>
    </xf>
    <xf numFmtId="3" fontId="45" fillId="35" borderId="27" xfId="0" applyNumberFormat="1" applyFont="1" applyFill="1" applyBorder="1" applyAlignment="1">
      <alignment/>
    </xf>
    <xf numFmtId="172" fontId="40" fillId="35" borderId="27" xfId="0" applyNumberFormat="1" applyFont="1" applyFill="1" applyBorder="1" applyAlignment="1" applyProtection="1">
      <alignment/>
      <protection hidden="1"/>
    </xf>
    <xf numFmtId="9" fontId="11" fillId="37" borderId="43" xfId="0" applyNumberFormat="1" applyFont="1" applyFill="1" applyBorder="1" applyAlignment="1" applyProtection="1">
      <alignment vertical="center"/>
      <protection hidden="1"/>
    </xf>
    <xf numFmtId="9" fontId="11" fillId="37" borderId="23" xfId="0" applyNumberFormat="1" applyFont="1" applyFill="1" applyBorder="1" applyAlignment="1" applyProtection="1">
      <alignment vertical="center"/>
      <protection hidden="1"/>
    </xf>
    <xf numFmtId="10" fontId="12" fillId="37" borderId="51" xfId="56" applyNumberFormat="1" applyFont="1" applyFill="1" applyBorder="1" applyAlignment="1" applyProtection="1">
      <alignment horizontal="center" vertical="center"/>
      <protection hidden="1"/>
    </xf>
    <xf numFmtId="3" fontId="3" fillId="35" borderId="0" xfId="50" applyNumberFormat="1" applyFont="1" applyFill="1" applyBorder="1">
      <alignment/>
      <protection/>
    </xf>
    <xf numFmtId="3" fontId="4" fillId="35" borderId="0" xfId="50" applyNumberFormat="1" applyFont="1" applyFill="1" applyBorder="1">
      <alignment/>
      <protection/>
    </xf>
    <xf numFmtId="3" fontId="44" fillId="35" borderId="0" xfId="49" applyNumberFormat="1" applyFont="1" applyFill="1" applyBorder="1" applyProtection="1">
      <alignment/>
      <protection hidden="1"/>
    </xf>
    <xf numFmtId="2" fontId="11" fillId="37" borderId="27" xfId="0" applyNumberFormat="1" applyFont="1" applyFill="1" applyBorder="1" applyAlignment="1">
      <alignment horizontal="center"/>
    </xf>
    <xf numFmtId="0" fontId="13" fillId="11" borderId="142" xfId="0" applyFont="1" applyFill="1" applyBorder="1" applyAlignment="1">
      <alignment horizontal="center"/>
    </xf>
    <xf numFmtId="0" fontId="13" fillId="11" borderId="142" xfId="0" applyFont="1" applyFill="1" applyBorder="1" applyAlignment="1">
      <alignment horizontal="center" wrapText="1"/>
    </xf>
    <xf numFmtId="0" fontId="13" fillId="11" borderId="143" xfId="0" applyFont="1" applyFill="1" applyBorder="1" applyAlignment="1">
      <alignment horizontal="center"/>
    </xf>
    <xf numFmtId="10" fontId="13" fillId="5" borderId="144" xfId="56" applyNumberFormat="1" applyFont="1" applyFill="1" applyBorder="1" applyAlignment="1">
      <alignment horizontal="center" wrapText="1"/>
    </xf>
    <xf numFmtId="10" fontId="13" fillId="5" borderId="145" xfId="56" applyNumberFormat="1" applyFont="1" applyFill="1" applyBorder="1" applyAlignment="1">
      <alignment horizontal="center" wrapText="1"/>
    </xf>
    <xf numFmtId="3" fontId="13" fillId="37" borderId="60" xfId="37" applyNumberFormat="1" applyFont="1" applyFill="1" applyBorder="1" applyAlignment="1">
      <alignment horizontal="center" wrapText="1"/>
    </xf>
    <xf numFmtId="3" fontId="13" fillId="37" borderId="60" xfId="56" applyNumberFormat="1" applyFont="1" applyFill="1" applyBorder="1" applyAlignment="1">
      <alignment horizontal="center" wrapText="1"/>
    </xf>
    <xf numFmtId="3" fontId="13" fillId="37" borderId="146" xfId="56" applyNumberFormat="1" applyFont="1" applyFill="1" applyBorder="1" applyAlignment="1">
      <alignment horizontal="center" wrapText="1"/>
    </xf>
    <xf numFmtId="167" fontId="12" fillId="37" borderId="24" xfId="56" applyNumberFormat="1" applyFont="1" applyFill="1" applyBorder="1" applyAlignment="1" applyProtection="1">
      <alignment/>
      <protection hidden="1"/>
    </xf>
    <xf numFmtId="3" fontId="40" fillId="35" borderId="0" xfId="49" applyNumberFormat="1" applyFont="1" applyFill="1" applyBorder="1" applyAlignment="1" applyProtection="1">
      <alignment horizontal="right"/>
      <protection hidden="1"/>
    </xf>
    <xf numFmtId="0" fontId="27" fillId="34" borderId="19" xfId="0" applyFont="1" applyFill="1" applyBorder="1" applyAlignment="1" applyProtection="1">
      <alignment horizontal="center"/>
      <protection locked="0"/>
    </xf>
    <xf numFmtId="167" fontId="27" fillId="34" borderId="19" xfId="0" applyNumberFormat="1" applyFont="1" applyFill="1" applyBorder="1" applyAlignment="1" applyProtection="1">
      <alignment horizontal="center"/>
      <protection locked="0"/>
    </xf>
    <xf numFmtId="3" fontId="47" fillId="37" borderId="78" xfId="0" applyNumberFormat="1" applyFont="1" applyFill="1" applyBorder="1" applyAlignment="1">
      <alignment/>
    </xf>
    <xf numFmtId="10" fontId="12" fillId="37" borderId="19" xfId="56" applyNumberFormat="1" applyFont="1" applyFill="1" applyBorder="1" applyAlignment="1" applyProtection="1">
      <alignment horizontal="center" vertical="center"/>
      <protection hidden="1"/>
    </xf>
    <xf numFmtId="0" fontId="51" fillId="33" borderId="147"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95" fillId="33" borderId="0" xfId="0" applyFont="1" applyFill="1" applyBorder="1" applyAlignment="1">
      <alignment horizontal="right"/>
    </xf>
    <xf numFmtId="0" fontId="29" fillId="0" borderId="19" xfId="0" applyFont="1" applyFill="1" applyBorder="1" applyAlignment="1">
      <alignment horizontal="center" vertical="center"/>
    </xf>
    <xf numFmtId="0" fontId="25" fillId="36" borderId="19" xfId="0" applyFont="1" applyFill="1" applyBorder="1" applyAlignment="1">
      <alignment horizontal="center"/>
    </xf>
    <xf numFmtId="0" fontId="25" fillId="11" borderId="19" xfId="0" applyFont="1" applyFill="1" applyBorder="1" applyAlignment="1">
      <alignment horizontal="center"/>
    </xf>
    <xf numFmtId="0" fontId="102" fillId="34" borderId="0" xfId="0" applyFont="1" applyFill="1" applyBorder="1" applyAlignment="1">
      <alignment horizontal="right"/>
    </xf>
    <xf numFmtId="0" fontId="49" fillId="37" borderId="51" xfId="0" applyFont="1" applyFill="1" applyBorder="1" applyAlignment="1" applyProtection="1">
      <alignment horizontal="left" vertical="center"/>
      <protection locked="0"/>
    </xf>
    <xf numFmtId="0" fontId="49" fillId="37" borderId="36" xfId="0" applyFont="1" applyFill="1" applyBorder="1" applyAlignment="1" applyProtection="1">
      <alignment horizontal="left" vertical="center"/>
      <protection locked="0"/>
    </xf>
    <xf numFmtId="0" fontId="49" fillId="37" borderId="35" xfId="0" applyFont="1" applyFill="1" applyBorder="1" applyAlignment="1" applyProtection="1">
      <alignment horizontal="left" vertical="center"/>
      <protection locked="0"/>
    </xf>
    <xf numFmtId="0" fontId="25" fillId="13" borderId="19" xfId="0" applyFont="1" applyFill="1" applyBorder="1" applyAlignment="1">
      <alignment horizontal="center"/>
    </xf>
    <xf numFmtId="0" fontId="0" fillId="37" borderId="147" xfId="0" applyFont="1" applyFill="1" applyBorder="1" applyAlignment="1" applyProtection="1">
      <alignment horizontal="left" vertical="center" wrapText="1"/>
      <protection locked="0"/>
    </xf>
    <xf numFmtId="0" fontId="0" fillId="37" borderId="0" xfId="0" applyFont="1" applyFill="1" applyBorder="1" applyAlignment="1" applyProtection="1">
      <alignment horizontal="left" vertical="center" wrapText="1"/>
      <protection locked="0"/>
    </xf>
    <xf numFmtId="0" fontId="42" fillId="37" borderId="20" xfId="0" applyFont="1" applyFill="1" applyBorder="1" applyAlignment="1">
      <alignment horizontal="left" vertical="center"/>
    </xf>
    <xf numFmtId="0" fontId="42" fillId="37" borderId="21" xfId="0" applyFont="1" applyFill="1" applyBorder="1" applyAlignment="1">
      <alignment horizontal="left" vertical="center"/>
    </xf>
    <xf numFmtId="0" fontId="42" fillId="37" borderId="22" xfId="0" applyFont="1" applyFill="1" applyBorder="1" applyAlignment="1">
      <alignment horizontal="left" vertical="center"/>
    </xf>
    <xf numFmtId="0" fontId="42" fillId="37" borderId="23" xfId="0" applyFont="1" applyFill="1" applyBorder="1" applyAlignment="1">
      <alignment horizontal="left" vertical="center"/>
    </xf>
    <xf numFmtId="0" fontId="42" fillId="37" borderId="0" xfId="0" applyFont="1" applyFill="1" applyBorder="1" applyAlignment="1">
      <alignment horizontal="left" vertical="center"/>
    </xf>
    <xf numFmtId="0" fontId="42" fillId="37" borderId="24" xfId="0" applyFont="1" applyFill="1" applyBorder="1" applyAlignment="1">
      <alignment horizontal="left" vertical="center"/>
    </xf>
    <xf numFmtId="0" fontId="42" fillId="37" borderId="25" xfId="0" applyFont="1" applyFill="1" applyBorder="1" applyAlignment="1">
      <alignment horizontal="left" vertical="center"/>
    </xf>
    <xf numFmtId="0" fontId="42" fillId="37" borderId="26" xfId="0" applyFont="1" applyFill="1" applyBorder="1" applyAlignment="1">
      <alignment horizontal="left" vertical="center"/>
    </xf>
    <xf numFmtId="0" fontId="42" fillId="37" borderId="27" xfId="0" applyFont="1" applyFill="1" applyBorder="1" applyAlignment="1">
      <alignment horizontal="left" vertical="center"/>
    </xf>
    <xf numFmtId="0" fontId="38" fillId="36" borderId="24" xfId="0" applyFont="1" applyFill="1" applyBorder="1" applyAlignment="1" applyProtection="1">
      <alignment horizontal="center" vertical="center" wrapText="1"/>
      <protection hidden="1"/>
    </xf>
    <xf numFmtId="0" fontId="38" fillId="36" borderId="62" xfId="0" applyFont="1" applyFill="1" applyBorder="1" applyAlignment="1" applyProtection="1">
      <alignment horizontal="center" vertical="center" wrapText="1"/>
      <protection hidden="1"/>
    </xf>
    <xf numFmtId="0" fontId="38" fillId="36" borderId="0" xfId="0" applyFont="1" applyFill="1" applyBorder="1" applyAlignment="1" applyProtection="1">
      <alignment horizontal="center" vertical="center" wrapText="1"/>
      <protection hidden="1"/>
    </xf>
    <xf numFmtId="0" fontId="38" fillId="11" borderId="0" xfId="0" applyFont="1" applyFill="1" applyBorder="1" applyAlignment="1" applyProtection="1">
      <alignment horizontal="center" vertical="center" wrapText="1"/>
      <protection hidden="1"/>
    </xf>
    <xf numFmtId="0" fontId="32" fillId="36" borderId="20" xfId="0" applyFont="1" applyFill="1" applyBorder="1" applyAlignment="1" applyProtection="1">
      <alignment horizontal="left" vertical="center"/>
      <protection hidden="1"/>
    </xf>
    <xf numFmtId="0" fontId="32" fillId="36" borderId="21" xfId="0" applyFont="1" applyFill="1" applyBorder="1" applyAlignment="1" applyProtection="1">
      <alignment horizontal="left" vertical="center"/>
      <protection hidden="1"/>
    </xf>
    <xf numFmtId="0" fontId="32" fillId="36" borderId="22" xfId="0" applyFont="1" applyFill="1" applyBorder="1" applyAlignment="1" applyProtection="1">
      <alignment horizontal="left" vertical="center"/>
      <protection hidden="1"/>
    </xf>
    <xf numFmtId="0" fontId="32" fillId="36" borderId="25" xfId="0" applyFont="1" applyFill="1" applyBorder="1" applyAlignment="1" applyProtection="1">
      <alignment horizontal="left" vertical="center"/>
      <protection hidden="1"/>
    </xf>
    <xf numFmtId="0" fontId="32" fillId="36" borderId="26" xfId="0" applyFont="1" applyFill="1" applyBorder="1" applyAlignment="1" applyProtection="1">
      <alignment horizontal="left" vertical="center"/>
      <protection hidden="1"/>
    </xf>
    <xf numFmtId="0" fontId="32" fillId="36" borderId="27" xfId="0" applyFont="1" applyFill="1" applyBorder="1" applyAlignment="1" applyProtection="1">
      <alignment horizontal="left" vertical="center"/>
      <protection hidden="1"/>
    </xf>
    <xf numFmtId="0" fontId="100" fillId="36" borderId="24" xfId="0" applyFont="1" applyFill="1" applyBorder="1" applyAlignment="1" applyProtection="1">
      <alignment horizontal="center" vertical="center" wrapText="1"/>
      <protection hidden="1"/>
    </xf>
    <xf numFmtId="0" fontId="38" fillId="11" borderId="85" xfId="0" applyFont="1" applyFill="1" applyBorder="1" applyAlignment="1" applyProtection="1">
      <alignment horizontal="center" vertical="center" wrapText="1"/>
      <protection hidden="1"/>
    </xf>
    <xf numFmtId="0" fontId="38" fillId="11" borderId="90" xfId="0" applyFont="1" applyFill="1" applyBorder="1" applyAlignment="1" applyProtection="1">
      <alignment horizontal="center" vertical="center" wrapText="1"/>
      <protection hidden="1"/>
    </xf>
    <xf numFmtId="0" fontId="38" fillId="11" borderId="26" xfId="0" applyFont="1" applyFill="1" applyBorder="1" applyAlignment="1" applyProtection="1">
      <alignment horizontal="center" vertical="center" wrapText="1"/>
      <protection hidden="1"/>
    </xf>
    <xf numFmtId="0" fontId="38" fillId="11" borderId="130" xfId="0" applyFont="1" applyFill="1" applyBorder="1" applyAlignment="1" applyProtection="1">
      <alignment horizontal="center" vertical="center" wrapText="1"/>
      <protection hidden="1"/>
    </xf>
    <xf numFmtId="0" fontId="38" fillId="11" borderId="148" xfId="0" applyFont="1" applyFill="1" applyBorder="1" applyAlignment="1" applyProtection="1">
      <alignment horizontal="center" vertical="center" wrapText="1"/>
      <protection hidden="1"/>
    </xf>
    <xf numFmtId="0" fontId="38" fillId="11" borderId="24" xfId="0" applyFont="1" applyFill="1" applyBorder="1" applyAlignment="1" applyProtection="1">
      <alignment horizontal="center" vertical="center" wrapText="1"/>
      <protection hidden="1"/>
    </xf>
    <xf numFmtId="0" fontId="38" fillId="36" borderId="130" xfId="0" applyFont="1" applyFill="1" applyBorder="1" applyAlignment="1" applyProtection="1">
      <alignment horizontal="center" vertical="center"/>
      <protection hidden="1"/>
    </xf>
    <xf numFmtId="0" fontId="38" fillId="36" borderId="148" xfId="0" applyFont="1" applyFill="1" applyBorder="1" applyAlignment="1" applyProtection="1">
      <alignment horizontal="center" vertical="center"/>
      <protection hidden="1"/>
    </xf>
    <xf numFmtId="0" fontId="38" fillId="36" borderId="24" xfId="0" applyFont="1" applyFill="1" applyBorder="1" applyAlignment="1" applyProtection="1">
      <alignment horizontal="center" vertical="center"/>
      <protection hidden="1"/>
    </xf>
    <xf numFmtId="0" fontId="38" fillId="36" borderId="27" xfId="0" applyFont="1" applyFill="1" applyBorder="1" applyAlignment="1" applyProtection="1">
      <alignment horizontal="center" vertical="center"/>
      <protection hidden="1"/>
    </xf>
    <xf numFmtId="0" fontId="32" fillId="36" borderId="20" xfId="52" applyFont="1" applyFill="1" applyBorder="1" applyAlignment="1" applyProtection="1">
      <alignment horizontal="left" vertical="center"/>
      <protection hidden="1"/>
    </xf>
    <xf numFmtId="0" fontId="32" fillId="36" borderId="21" xfId="52" applyFont="1" applyFill="1" applyBorder="1" applyAlignment="1" applyProtection="1">
      <alignment horizontal="left" vertical="center"/>
      <protection hidden="1"/>
    </xf>
    <xf numFmtId="0" fontId="32" fillId="36" borderId="22" xfId="52" applyFont="1" applyFill="1" applyBorder="1" applyAlignment="1" applyProtection="1">
      <alignment horizontal="left" vertical="center"/>
      <protection hidden="1"/>
    </xf>
    <xf numFmtId="0" fontId="32" fillId="36" borderId="25" xfId="52" applyFont="1" applyFill="1" applyBorder="1" applyAlignment="1" applyProtection="1">
      <alignment horizontal="left" vertical="center"/>
      <protection hidden="1"/>
    </xf>
    <xf numFmtId="0" fontId="32" fillId="36" borderId="26" xfId="52" applyFont="1" applyFill="1" applyBorder="1" applyAlignment="1" applyProtection="1">
      <alignment horizontal="left" vertical="center"/>
      <protection hidden="1"/>
    </xf>
    <xf numFmtId="0" fontId="32" fillId="36" borderId="27" xfId="52" applyFont="1" applyFill="1" applyBorder="1" applyAlignment="1" applyProtection="1">
      <alignment horizontal="left" vertical="center"/>
      <protection hidden="1"/>
    </xf>
    <xf numFmtId="0" fontId="42" fillId="37" borderId="20" xfId="52" applyFont="1" applyFill="1" applyBorder="1" applyAlignment="1" applyProtection="1">
      <alignment horizontal="center"/>
      <protection locked="0"/>
    </xf>
    <xf numFmtId="0" fontId="42" fillId="37" borderId="21" xfId="52" applyFont="1" applyFill="1" applyBorder="1" applyAlignment="1" applyProtection="1">
      <alignment horizontal="center"/>
      <protection locked="0"/>
    </xf>
    <xf numFmtId="0" fontId="42" fillId="37" borderId="22" xfId="52" applyFont="1" applyFill="1" applyBorder="1" applyAlignment="1" applyProtection="1">
      <alignment horizontal="center"/>
      <protection locked="0"/>
    </xf>
    <xf numFmtId="0" fontId="42" fillId="37" borderId="23" xfId="52" applyFont="1" applyFill="1" applyBorder="1" applyAlignment="1" applyProtection="1">
      <alignment horizontal="center"/>
      <protection locked="0"/>
    </xf>
    <xf numFmtId="0" fontId="42" fillId="37" borderId="0" xfId="52" applyFont="1" applyFill="1" applyBorder="1" applyAlignment="1" applyProtection="1">
      <alignment horizontal="center"/>
      <protection locked="0"/>
    </xf>
    <xf numFmtId="0" fontId="42" fillId="37" borderId="24" xfId="52" applyFont="1" applyFill="1" applyBorder="1" applyAlignment="1" applyProtection="1">
      <alignment horizontal="center"/>
      <protection locked="0"/>
    </xf>
    <xf numFmtId="0" fontId="42" fillId="37" borderId="25" xfId="52" applyFont="1" applyFill="1" applyBorder="1" applyAlignment="1" applyProtection="1">
      <alignment horizontal="center"/>
      <protection locked="0"/>
    </xf>
    <xf numFmtId="0" fontId="42" fillId="37" borderId="26" xfId="52" applyFont="1" applyFill="1" applyBorder="1" applyAlignment="1" applyProtection="1">
      <alignment horizontal="center"/>
      <protection locked="0"/>
    </xf>
    <xf numFmtId="0" fontId="42" fillId="37" borderId="27" xfId="52" applyFont="1" applyFill="1" applyBorder="1" applyAlignment="1" applyProtection="1">
      <alignment horizontal="center"/>
      <protection locked="0"/>
    </xf>
    <xf numFmtId="172" fontId="29" fillId="35" borderId="36" xfId="0" applyNumberFormat="1" applyFont="1" applyFill="1" applyBorder="1" applyAlignment="1" applyProtection="1">
      <alignment horizontal="center" vertical="center"/>
      <protection hidden="1"/>
    </xf>
    <xf numFmtId="172" fontId="29" fillId="35" borderId="35" xfId="0" applyNumberFormat="1" applyFont="1" applyFill="1" applyBorder="1" applyAlignment="1" applyProtection="1">
      <alignment horizontal="center" vertical="center"/>
      <protection hidden="1"/>
    </xf>
    <xf numFmtId="180" fontId="40" fillId="35" borderId="26" xfId="0" applyNumberFormat="1" applyFont="1" applyFill="1" applyBorder="1" applyAlignment="1" applyProtection="1">
      <alignment horizontal="center"/>
      <protection hidden="1"/>
    </xf>
    <xf numFmtId="180" fontId="40" fillId="35" borderId="27" xfId="0" applyNumberFormat="1" applyFont="1" applyFill="1" applyBorder="1" applyAlignment="1" applyProtection="1">
      <alignment horizontal="center"/>
      <protection hidden="1"/>
    </xf>
    <xf numFmtId="0" fontId="42" fillId="37" borderId="20" xfId="0" applyFont="1" applyFill="1" applyBorder="1" applyAlignment="1" applyProtection="1">
      <alignment horizontal="center"/>
      <protection locked="0"/>
    </xf>
    <xf numFmtId="0" fontId="42" fillId="37" borderId="21" xfId="0" applyFont="1" applyFill="1" applyBorder="1" applyAlignment="1" applyProtection="1">
      <alignment horizontal="center"/>
      <protection locked="0"/>
    </xf>
    <xf numFmtId="0" fontId="42" fillId="37" borderId="22" xfId="0" applyFont="1" applyFill="1" applyBorder="1" applyAlignment="1" applyProtection="1">
      <alignment horizontal="center"/>
      <protection locked="0"/>
    </xf>
    <xf numFmtId="0" fontId="42" fillId="37" borderId="23" xfId="0" applyFont="1" applyFill="1" applyBorder="1" applyAlignment="1" applyProtection="1">
      <alignment horizontal="center"/>
      <protection locked="0"/>
    </xf>
    <xf numFmtId="0" fontId="42" fillId="37" borderId="0" xfId="0" applyFont="1" applyFill="1" applyBorder="1" applyAlignment="1" applyProtection="1">
      <alignment horizontal="center"/>
      <protection locked="0"/>
    </xf>
    <xf numFmtId="0" fontId="42" fillId="37" borderId="24" xfId="0" applyFont="1" applyFill="1" applyBorder="1" applyAlignment="1" applyProtection="1">
      <alignment horizontal="center"/>
      <protection locked="0"/>
    </xf>
    <xf numFmtId="0" fontId="42" fillId="37" borderId="25" xfId="0" applyFont="1" applyFill="1" applyBorder="1" applyAlignment="1" applyProtection="1">
      <alignment horizontal="center"/>
      <protection locked="0"/>
    </xf>
    <xf numFmtId="0" fontId="42" fillId="37" borderId="26" xfId="0" applyFont="1" applyFill="1" applyBorder="1" applyAlignment="1" applyProtection="1">
      <alignment horizontal="center"/>
      <protection locked="0"/>
    </xf>
    <xf numFmtId="0" fontId="42" fillId="37" borderId="27" xfId="0" applyFont="1" applyFill="1" applyBorder="1" applyAlignment="1" applyProtection="1">
      <alignment horizontal="center"/>
      <protection locked="0"/>
    </xf>
    <xf numFmtId="0" fontId="38" fillId="36" borderId="21" xfId="0" applyFont="1" applyFill="1" applyBorder="1" applyAlignment="1" applyProtection="1">
      <alignment horizontal="center" vertical="center"/>
      <protection hidden="1"/>
    </xf>
    <xf numFmtId="0" fontId="38" fillId="36" borderId="26" xfId="0" applyFont="1" applyFill="1" applyBorder="1" applyAlignment="1" applyProtection="1">
      <alignment horizontal="center" vertical="center"/>
      <protection hidden="1"/>
    </xf>
    <xf numFmtId="0" fontId="38" fillId="36" borderId="22" xfId="0" applyFont="1" applyFill="1" applyBorder="1" applyAlignment="1" applyProtection="1">
      <alignment horizontal="center" vertical="center"/>
      <protection hidden="1"/>
    </xf>
    <xf numFmtId="0" fontId="38" fillId="36" borderId="20" xfId="0" applyFont="1" applyFill="1" applyBorder="1" applyAlignment="1" applyProtection="1">
      <alignment horizontal="center" vertical="center"/>
      <protection hidden="1"/>
    </xf>
    <xf numFmtId="0" fontId="38" fillId="36" borderId="25" xfId="0" applyFont="1" applyFill="1" applyBorder="1" applyAlignment="1" applyProtection="1">
      <alignment horizontal="center" vertical="center"/>
      <protection hidden="1"/>
    </xf>
    <xf numFmtId="0" fontId="32" fillId="13" borderId="20" xfId="0" applyFont="1" applyFill="1" applyBorder="1" applyAlignment="1" applyProtection="1">
      <alignment horizontal="left" vertical="center"/>
      <protection hidden="1"/>
    </xf>
    <xf numFmtId="0" fontId="32" fillId="13" borderId="21" xfId="0" applyFont="1" applyFill="1" applyBorder="1" applyAlignment="1" applyProtection="1">
      <alignment horizontal="left" vertical="center"/>
      <protection hidden="1"/>
    </xf>
    <xf numFmtId="0" fontId="32" fillId="13" borderId="22" xfId="0" applyFont="1" applyFill="1" applyBorder="1" applyAlignment="1" applyProtection="1">
      <alignment horizontal="left" vertical="center"/>
      <protection hidden="1"/>
    </xf>
    <xf numFmtId="0" fontId="32" fillId="13" borderId="25" xfId="0" applyFont="1" applyFill="1" applyBorder="1" applyAlignment="1" applyProtection="1">
      <alignment horizontal="left" vertical="center"/>
      <protection hidden="1"/>
    </xf>
    <xf numFmtId="0" fontId="32" fillId="13" borderId="26" xfId="0" applyFont="1" applyFill="1" applyBorder="1" applyAlignment="1" applyProtection="1">
      <alignment horizontal="left" vertical="center"/>
      <protection hidden="1"/>
    </xf>
    <xf numFmtId="0" fontId="32" fillId="13" borderId="27" xfId="0" applyFont="1" applyFill="1" applyBorder="1" applyAlignment="1" applyProtection="1">
      <alignment horizontal="left" vertical="center"/>
      <protection hidden="1"/>
    </xf>
    <xf numFmtId="0" fontId="38" fillId="13" borderId="20" xfId="0" applyFont="1" applyFill="1" applyBorder="1" applyAlignment="1" applyProtection="1">
      <alignment horizontal="center" vertical="center"/>
      <protection hidden="1"/>
    </xf>
    <xf numFmtId="0" fontId="38" fillId="13" borderId="25" xfId="0" applyFont="1" applyFill="1" applyBorder="1" applyAlignment="1" applyProtection="1">
      <alignment horizontal="center" vertical="center"/>
      <protection hidden="1"/>
    </xf>
    <xf numFmtId="0" fontId="38" fillId="13" borderId="21" xfId="0" applyFont="1" applyFill="1" applyBorder="1" applyAlignment="1" applyProtection="1">
      <alignment horizontal="center" vertical="center"/>
      <protection hidden="1"/>
    </xf>
    <xf numFmtId="0" fontId="38" fillId="13" borderId="26" xfId="0" applyFont="1" applyFill="1" applyBorder="1" applyAlignment="1" applyProtection="1">
      <alignment horizontal="center" vertical="center"/>
      <protection hidden="1"/>
    </xf>
    <xf numFmtId="0" fontId="38" fillId="13" borderId="22" xfId="0" applyFont="1" applyFill="1" applyBorder="1" applyAlignment="1" applyProtection="1">
      <alignment horizontal="center" vertical="center"/>
      <protection hidden="1"/>
    </xf>
    <xf numFmtId="0" fontId="38" fillId="13" borderId="27" xfId="0" applyFont="1" applyFill="1" applyBorder="1" applyAlignment="1" applyProtection="1">
      <alignment horizontal="center" vertical="center"/>
      <protection hidden="1"/>
    </xf>
    <xf numFmtId="0" fontId="42" fillId="37" borderId="20" xfId="52" applyFont="1" applyFill="1" applyBorder="1" applyAlignment="1">
      <alignment horizontal="center"/>
      <protection/>
    </xf>
    <xf numFmtId="0" fontId="42" fillId="37" borderId="21" xfId="52" applyFont="1" applyFill="1" applyBorder="1" applyAlignment="1">
      <alignment horizontal="center"/>
      <protection/>
    </xf>
    <xf numFmtId="0" fontId="42" fillId="37" borderId="22" xfId="52" applyFont="1" applyFill="1" applyBorder="1" applyAlignment="1">
      <alignment horizontal="center"/>
      <protection/>
    </xf>
    <xf numFmtId="0" fontId="42" fillId="37" borderId="23" xfId="52" applyFont="1" applyFill="1" applyBorder="1" applyAlignment="1">
      <alignment horizontal="center"/>
      <protection/>
    </xf>
    <xf numFmtId="0" fontId="42" fillId="37" borderId="0" xfId="52" applyFont="1" applyFill="1" applyBorder="1" applyAlignment="1">
      <alignment horizontal="center"/>
      <protection/>
    </xf>
    <xf numFmtId="0" fontId="42" fillId="37" borderId="24" xfId="52" applyFont="1" applyFill="1" applyBorder="1" applyAlignment="1">
      <alignment horizontal="center"/>
      <protection/>
    </xf>
    <xf numFmtId="0" fontId="42" fillId="37" borderId="25" xfId="52" applyFont="1" applyFill="1" applyBorder="1" applyAlignment="1">
      <alignment horizontal="center"/>
      <protection/>
    </xf>
    <xf numFmtId="0" fontId="42" fillId="37" borderId="26" xfId="52" applyFont="1" applyFill="1" applyBorder="1" applyAlignment="1">
      <alignment horizontal="center"/>
      <protection/>
    </xf>
    <xf numFmtId="0" fontId="42" fillId="37" borderId="27" xfId="52" applyFont="1" applyFill="1" applyBorder="1" applyAlignment="1">
      <alignment horizontal="center"/>
      <protection/>
    </xf>
    <xf numFmtId="0" fontId="38" fillId="36" borderId="21" xfId="52" applyFont="1" applyFill="1" applyBorder="1" applyAlignment="1" applyProtection="1">
      <alignment horizontal="center" vertical="center"/>
      <protection hidden="1"/>
    </xf>
    <xf numFmtId="0" fontId="38" fillId="36" borderId="26" xfId="52" applyFont="1" applyFill="1" applyBorder="1" applyAlignment="1" applyProtection="1">
      <alignment horizontal="center" vertical="center"/>
      <protection hidden="1"/>
    </xf>
    <xf numFmtId="0" fontId="38" fillId="36" borderId="20" xfId="52" applyFont="1" applyFill="1" applyBorder="1" applyAlignment="1" applyProtection="1">
      <alignment horizontal="center" vertical="center"/>
      <protection hidden="1"/>
    </xf>
    <xf numFmtId="0" fontId="38" fillId="36" borderId="25" xfId="52" applyFont="1" applyFill="1" applyBorder="1" applyAlignment="1" applyProtection="1">
      <alignment horizontal="center" vertical="center"/>
      <protection hidden="1"/>
    </xf>
    <xf numFmtId="0" fontId="38" fillId="36" borderId="22" xfId="52" applyFont="1" applyFill="1" applyBorder="1" applyAlignment="1" applyProtection="1">
      <alignment horizontal="center" vertical="center"/>
      <protection hidden="1"/>
    </xf>
    <xf numFmtId="0" fontId="38" fillId="36" borderId="27" xfId="52" applyFont="1" applyFill="1" applyBorder="1" applyAlignment="1" applyProtection="1">
      <alignment horizontal="center" vertical="center"/>
      <protection hidden="1"/>
    </xf>
    <xf numFmtId="0" fontId="14" fillId="37" borderId="20" xfId="0" applyFont="1" applyFill="1" applyBorder="1" applyAlignment="1">
      <alignment horizontal="center"/>
    </xf>
    <xf numFmtId="0" fontId="14" fillId="37" borderId="21" xfId="0" applyFont="1" applyFill="1" applyBorder="1" applyAlignment="1">
      <alignment horizontal="center"/>
    </xf>
    <xf numFmtId="0" fontId="14" fillId="37" borderId="22" xfId="0" applyFont="1" applyFill="1" applyBorder="1" applyAlignment="1">
      <alignment horizontal="center"/>
    </xf>
    <xf numFmtId="0" fontId="14" fillId="37" borderId="23" xfId="0" applyFont="1" applyFill="1" applyBorder="1" applyAlignment="1">
      <alignment horizontal="center"/>
    </xf>
    <xf numFmtId="0" fontId="14" fillId="37" borderId="0" xfId="0" applyFont="1" applyFill="1" applyBorder="1" applyAlignment="1">
      <alignment horizontal="center"/>
    </xf>
    <xf numFmtId="0" fontId="14" fillId="37" borderId="24" xfId="0" applyFont="1" applyFill="1" applyBorder="1" applyAlignment="1">
      <alignment horizontal="center"/>
    </xf>
    <xf numFmtId="0" fontId="14" fillId="37" borderId="25" xfId="0" applyFont="1" applyFill="1" applyBorder="1" applyAlignment="1">
      <alignment horizontal="center"/>
    </xf>
    <xf numFmtId="0" fontId="14" fillId="37" borderId="26" xfId="0" applyFont="1" applyFill="1" applyBorder="1" applyAlignment="1">
      <alignment horizontal="center"/>
    </xf>
    <xf numFmtId="0" fontId="14" fillId="37" borderId="27" xfId="0" applyFont="1" applyFill="1" applyBorder="1" applyAlignment="1">
      <alignment horizontal="center"/>
    </xf>
    <xf numFmtId="0" fontId="12" fillId="10" borderId="21" xfId="0" applyFont="1" applyFill="1" applyBorder="1" applyAlignment="1" applyProtection="1">
      <alignment horizontal="center" vertical="center"/>
      <protection hidden="1"/>
    </xf>
    <xf numFmtId="0" fontId="12" fillId="10" borderId="26" xfId="0" applyFont="1" applyFill="1" applyBorder="1" applyAlignment="1" applyProtection="1">
      <alignment horizontal="center" vertical="center"/>
      <protection hidden="1"/>
    </xf>
    <xf numFmtId="0" fontId="12" fillId="10" borderId="22" xfId="0" applyFont="1" applyFill="1" applyBorder="1" applyAlignment="1" applyProtection="1">
      <alignment horizontal="center" vertical="center"/>
      <protection hidden="1"/>
    </xf>
    <xf numFmtId="0" fontId="12" fillId="10" borderId="27" xfId="0" applyFont="1" applyFill="1" applyBorder="1" applyAlignment="1" applyProtection="1">
      <alignment horizontal="center" vertical="center"/>
      <protection hidden="1"/>
    </xf>
    <xf numFmtId="0" fontId="10" fillId="13" borderId="20" xfId="0" applyFont="1" applyFill="1" applyBorder="1" applyAlignment="1" applyProtection="1">
      <alignment horizontal="left" vertical="center"/>
      <protection hidden="1"/>
    </xf>
    <xf numFmtId="0" fontId="10" fillId="13" borderId="21" xfId="0" applyFont="1" applyFill="1" applyBorder="1" applyAlignment="1" applyProtection="1">
      <alignment horizontal="left" vertical="center"/>
      <protection hidden="1"/>
    </xf>
    <xf numFmtId="0" fontId="10" fillId="13" borderId="22" xfId="0" applyFont="1" applyFill="1" applyBorder="1" applyAlignment="1" applyProtection="1">
      <alignment horizontal="left" vertical="center"/>
      <protection hidden="1"/>
    </xf>
    <xf numFmtId="0" fontId="10" fillId="13" borderId="25" xfId="0" applyFont="1" applyFill="1" applyBorder="1" applyAlignment="1" applyProtection="1">
      <alignment horizontal="left" vertical="center"/>
      <protection hidden="1"/>
    </xf>
    <xf numFmtId="0" fontId="10" fillId="13" borderId="26" xfId="0" applyFont="1" applyFill="1" applyBorder="1" applyAlignment="1" applyProtection="1">
      <alignment horizontal="left" vertical="center"/>
      <protection hidden="1"/>
    </xf>
    <xf numFmtId="0" fontId="10" fillId="13" borderId="27" xfId="0" applyFont="1" applyFill="1" applyBorder="1" applyAlignment="1" applyProtection="1">
      <alignment horizontal="left" vertical="center"/>
      <protection hidden="1"/>
    </xf>
    <xf numFmtId="0" fontId="12" fillId="13" borderId="22" xfId="0" applyFont="1" applyFill="1" applyBorder="1" applyAlignment="1" applyProtection="1">
      <alignment horizontal="center" vertical="center"/>
      <protection hidden="1"/>
    </xf>
    <xf numFmtId="0" fontId="12" fillId="13" borderId="27" xfId="0" applyFont="1" applyFill="1" applyBorder="1" applyAlignment="1" applyProtection="1">
      <alignment horizontal="center" vertical="center"/>
      <protection hidden="1"/>
    </xf>
    <xf numFmtId="0" fontId="12" fillId="13" borderId="21" xfId="0" applyFont="1" applyFill="1" applyBorder="1" applyAlignment="1" applyProtection="1">
      <alignment horizontal="center" vertical="center"/>
      <protection hidden="1"/>
    </xf>
    <xf numFmtId="0" fontId="12" fillId="13" borderId="26" xfId="0" applyFont="1" applyFill="1" applyBorder="1" applyAlignment="1" applyProtection="1">
      <alignment horizontal="center" vertical="center"/>
      <protection hidden="1"/>
    </xf>
    <xf numFmtId="0" fontId="12" fillId="10" borderId="20" xfId="0" applyFont="1" applyFill="1" applyBorder="1" applyAlignment="1" applyProtection="1">
      <alignment horizontal="center" vertical="center"/>
      <protection hidden="1"/>
    </xf>
    <xf numFmtId="0" fontId="12" fillId="10" borderId="25" xfId="0" applyFont="1" applyFill="1" applyBorder="1" applyAlignment="1" applyProtection="1">
      <alignment horizontal="center" vertical="center"/>
      <protection hidden="1"/>
    </xf>
    <xf numFmtId="0" fontId="14" fillId="37" borderId="20" xfId="0" applyFont="1" applyFill="1" applyBorder="1" applyAlignment="1">
      <alignment horizontal="left" vertical="center"/>
    </xf>
    <xf numFmtId="0" fontId="14" fillId="37" borderId="21" xfId="0" applyFont="1" applyFill="1" applyBorder="1" applyAlignment="1">
      <alignment horizontal="left" vertical="center"/>
    </xf>
    <xf numFmtId="0" fontId="14" fillId="37" borderId="22" xfId="0" applyFont="1" applyFill="1" applyBorder="1" applyAlignment="1">
      <alignment horizontal="left" vertical="center"/>
    </xf>
    <xf numFmtId="0" fontId="14" fillId="37" borderId="23" xfId="0" applyFont="1" applyFill="1" applyBorder="1" applyAlignment="1">
      <alignment horizontal="left" vertical="center"/>
    </xf>
    <xf numFmtId="0" fontId="14" fillId="37" borderId="0" xfId="0" applyFont="1" applyFill="1" applyBorder="1" applyAlignment="1">
      <alignment horizontal="left" vertical="center"/>
    </xf>
    <xf numFmtId="0" fontId="14" fillId="37" borderId="24" xfId="0" applyFont="1" applyFill="1" applyBorder="1" applyAlignment="1">
      <alignment horizontal="left" vertical="center"/>
    </xf>
    <xf numFmtId="0" fontId="14" fillId="37" borderId="25" xfId="0" applyFont="1" applyFill="1" applyBorder="1" applyAlignment="1">
      <alignment horizontal="left" vertical="center"/>
    </xf>
    <xf numFmtId="0" fontId="14" fillId="37" borderId="26" xfId="0" applyFont="1" applyFill="1" applyBorder="1" applyAlignment="1">
      <alignment horizontal="left" vertical="center"/>
    </xf>
    <xf numFmtId="0" fontId="14" fillId="37" borderId="27" xfId="0" applyFont="1" applyFill="1" applyBorder="1" applyAlignment="1">
      <alignment horizontal="left" vertical="center"/>
    </xf>
    <xf numFmtId="0" fontId="15" fillId="11" borderId="40" xfId="0" applyFont="1" applyFill="1" applyBorder="1" applyAlignment="1">
      <alignment horizontal="center"/>
    </xf>
    <xf numFmtId="0" fontId="15" fillId="11" borderId="48" xfId="0" applyFont="1" applyFill="1" applyBorder="1" applyAlignment="1">
      <alignment horizontal="center"/>
    </xf>
    <xf numFmtId="0" fontId="15" fillId="11" borderId="39" xfId="0" applyFont="1" applyFill="1" applyBorder="1" applyAlignment="1">
      <alignment horizontal="center"/>
    </xf>
    <xf numFmtId="0" fontId="15" fillId="11" borderId="20" xfId="0" applyFont="1" applyFill="1" applyBorder="1" applyAlignment="1">
      <alignment horizontal="center" wrapText="1"/>
    </xf>
    <xf numFmtId="0" fontId="15" fillId="11" borderId="21" xfId="0" applyFont="1" applyFill="1" applyBorder="1" applyAlignment="1">
      <alignment horizontal="center" wrapText="1"/>
    </xf>
    <xf numFmtId="0" fontId="15" fillId="11" borderId="22" xfId="0" applyFont="1" applyFill="1" applyBorder="1" applyAlignment="1">
      <alignment horizontal="center" wrapText="1"/>
    </xf>
    <xf numFmtId="0" fontId="3" fillId="4" borderId="23" xfId="0" applyNumberFormat="1" applyFont="1" applyFill="1" applyBorder="1" applyAlignment="1" applyProtection="1">
      <alignment horizontal="center" wrapText="1"/>
      <protection hidden="1"/>
    </xf>
    <xf numFmtId="0" fontId="3" fillId="4" borderId="49" xfId="0" applyNumberFormat="1" applyFont="1" applyFill="1" applyBorder="1" applyAlignment="1" applyProtection="1">
      <alignment horizontal="center" wrapText="1"/>
      <protection hidden="1"/>
    </xf>
    <xf numFmtId="3" fontId="15" fillId="5" borderId="51" xfId="0" applyNumberFormat="1" applyFont="1" applyFill="1" applyBorder="1" applyAlignment="1">
      <alignment horizontal="center" wrapText="1"/>
    </xf>
    <xf numFmtId="3" fontId="15" fillId="5" borderId="35" xfId="0" applyNumberFormat="1" applyFont="1" applyFill="1" applyBorder="1" applyAlignment="1">
      <alignment horizontal="center" wrapText="1"/>
    </xf>
    <xf numFmtId="4" fontId="13" fillId="35" borderId="48" xfId="0" applyNumberFormat="1" applyFont="1" applyFill="1" applyBorder="1" applyAlignment="1">
      <alignment horizontal="center" wrapText="1"/>
    </xf>
    <xf numFmtId="4" fontId="13" fillId="35" borderId="39" xfId="0" applyNumberFormat="1" applyFont="1" applyFill="1" applyBorder="1" applyAlignment="1">
      <alignment horizontal="center" wrapText="1"/>
    </xf>
    <xf numFmtId="174" fontId="13" fillId="35" borderId="48" xfId="0" applyNumberFormat="1" applyFont="1" applyFill="1" applyBorder="1" applyAlignment="1">
      <alignment horizontal="center" wrapText="1"/>
    </xf>
    <xf numFmtId="174" fontId="13" fillId="35" borderId="39" xfId="0" applyNumberFormat="1" applyFont="1" applyFill="1" applyBorder="1" applyAlignment="1">
      <alignment horizontal="center" wrapText="1"/>
    </xf>
    <xf numFmtId="4" fontId="13" fillId="37" borderId="88" xfId="56" applyNumberFormat="1" applyFont="1" applyFill="1" applyBorder="1" applyAlignment="1">
      <alignment horizontal="center" wrapText="1"/>
    </xf>
    <xf numFmtId="4" fontId="13" fillId="37" borderId="81" xfId="56" applyNumberFormat="1" applyFont="1" applyFill="1" applyBorder="1" applyAlignment="1">
      <alignment horizontal="center" wrapText="1"/>
    </xf>
    <xf numFmtId="0" fontId="12" fillId="13" borderId="20" xfId="0" applyFont="1" applyFill="1" applyBorder="1" applyAlignment="1" applyProtection="1">
      <alignment horizontal="center" vertical="center"/>
      <protection hidden="1"/>
    </xf>
    <xf numFmtId="0" fontId="12" fillId="13" borderId="25" xfId="0" applyFont="1" applyFill="1" applyBorder="1" applyAlignment="1" applyProtection="1">
      <alignment horizontal="center" vertical="center"/>
      <protection hidden="1"/>
    </xf>
    <xf numFmtId="0" fontId="10" fillId="13" borderId="23" xfId="0" applyFont="1" applyFill="1" applyBorder="1" applyAlignment="1" applyProtection="1">
      <alignment horizontal="left" vertical="center"/>
      <protection hidden="1"/>
    </xf>
    <xf numFmtId="0" fontId="10" fillId="13" borderId="0" xfId="0" applyFont="1" applyFill="1" applyBorder="1" applyAlignment="1" applyProtection="1">
      <alignment horizontal="left" vertical="center"/>
      <protection hidden="1"/>
    </xf>
    <xf numFmtId="0" fontId="10" fillId="13" borderId="24" xfId="0" applyFont="1" applyFill="1" applyBorder="1" applyAlignment="1" applyProtection="1">
      <alignment horizontal="left" vertical="center"/>
      <protection hidden="1"/>
    </xf>
    <xf numFmtId="0" fontId="3" fillId="4" borderId="43" xfId="0" applyNumberFormat="1" applyFont="1" applyFill="1" applyBorder="1" applyAlignment="1" applyProtection="1">
      <alignment horizontal="center" wrapText="1"/>
      <protection hidden="1"/>
    </xf>
    <xf numFmtId="0" fontId="3" fillId="4" borderId="20" xfId="0" applyNumberFormat="1" applyFont="1" applyFill="1" applyBorder="1" applyAlignment="1" applyProtection="1">
      <alignment horizontal="center" vertical="center" wrapText="1"/>
      <protection hidden="1"/>
    </xf>
    <xf numFmtId="0" fontId="3" fillId="4" borderId="23" xfId="0" applyNumberFormat="1" applyFont="1" applyFill="1" applyBorder="1" applyAlignment="1" applyProtection="1">
      <alignment horizontal="center" vertical="center" wrapText="1"/>
      <protection hidden="1"/>
    </xf>
    <xf numFmtId="0" fontId="3" fillId="4" borderId="49" xfId="0" applyNumberFormat="1" applyFont="1" applyFill="1" applyBorder="1" applyAlignment="1" applyProtection="1">
      <alignment horizontal="center" vertical="center" wrapText="1"/>
      <protection hidden="1"/>
    </xf>
    <xf numFmtId="16" fontId="3" fillId="4" borderId="43" xfId="0" applyNumberFormat="1" applyFont="1" applyFill="1" applyBorder="1" applyAlignment="1" applyProtection="1">
      <alignment horizontal="center" vertical="center" wrapText="1"/>
      <protection hidden="1"/>
    </xf>
    <xf numFmtId="0" fontId="3" fillId="4" borderId="25" xfId="0" applyNumberFormat="1" applyFont="1" applyFill="1" applyBorder="1" applyAlignment="1" applyProtection="1">
      <alignment horizontal="center" vertical="center" wrapText="1"/>
      <protection hidden="1"/>
    </xf>
    <xf numFmtId="0" fontId="3" fillId="5" borderId="20" xfId="0" applyNumberFormat="1" applyFont="1" applyFill="1" applyBorder="1" applyAlignment="1" applyProtection="1">
      <alignment horizontal="center" vertical="center" wrapText="1"/>
      <protection hidden="1"/>
    </xf>
    <xf numFmtId="0" fontId="3" fillId="5" borderId="23" xfId="0" applyNumberFormat="1" applyFont="1" applyFill="1" applyBorder="1" applyAlignment="1" applyProtection="1">
      <alignment horizontal="center" vertical="center" wrapText="1"/>
      <protection hidden="1"/>
    </xf>
    <xf numFmtId="0" fontId="3" fillId="5" borderId="49" xfId="0" applyNumberFormat="1" applyFont="1" applyFill="1" applyBorder="1" applyAlignment="1" applyProtection="1">
      <alignment horizontal="center" vertical="center" wrapText="1"/>
      <protection hidden="1"/>
    </xf>
    <xf numFmtId="16" fontId="3" fillId="5" borderId="23" xfId="0" applyNumberFormat="1" applyFont="1" applyFill="1" applyBorder="1" applyAlignment="1" applyProtection="1">
      <alignment horizontal="center" vertical="center" wrapText="1"/>
      <protection hidden="1"/>
    </xf>
    <xf numFmtId="16" fontId="3" fillId="5" borderId="23" xfId="0" applyNumberFormat="1" applyFont="1" applyFill="1" applyBorder="1" applyAlignment="1" applyProtection="1" quotePrefix="1">
      <alignment horizontal="center" vertical="center" wrapText="1"/>
      <protection hidden="1"/>
    </xf>
    <xf numFmtId="16" fontId="3" fillId="5" borderId="25" xfId="0" applyNumberFormat="1" applyFont="1" applyFill="1" applyBorder="1" applyAlignment="1" applyProtection="1" quotePrefix="1">
      <alignment horizontal="center" vertical="center" wrapText="1"/>
      <protection hidden="1"/>
    </xf>
    <xf numFmtId="16" fontId="3" fillId="5" borderId="43" xfId="0" applyNumberFormat="1" applyFont="1" applyFill="1" applyBorder="1" applyAlignment="1" applyProtection="1">
      <alignment horizontal="center" vertical="center" wrapText="1"/>
      <protection hidden="1"/>
    </xf>
    <xf numFmtId="16" fontId="3" fillId="5" borderId="25" xfId="0" applyNumberFormat="1" applyFont="1" applyFill="1" applyBorder="1" applyAlignment="1" applyProtection="1">
      <alignment horizontal="center" vertical="center" wrapText="1"/>
      <protection hidden="1"/>
    </xf>
    <xf numFmtId="0" fontId="14" fillId="37" borderId="20" xfId="0" applyFont="1" applyFill="1" applyBorder="1" applyAlignment="1" applyProtection="1">
      <alignment horizontal="left" vertical="center"/>
      <protection locked="0"/>
    </xf>
    <xf numFmtId="0" fontId="14" fillId="37" borderId="21" xfId="0" applyFont="1" applyFill="1" applyBorder="1" applyAlignment="1" applyProtection="1">
      <alignment horizontal="left" vertical="center"/>
      <protection locked="0"/>
    </xf>
    <xf numFmtId="0" fontId="14" fillId="37" borderId="22" xfId="0" applyFont="1" applyFill="1" applyBorder="1" applyAlignment="1" applyProtection="1">
      <alignment horizontal="left" vertical="center"/>
      <protection locked="0"/>
    </xf>
    <xf numFmtId="0" fontId="14" fillId="37" borderId="23" xfId="0" applyFont="1" applyFill="1" applyBorder="1" applyAlignment="1" applyProtection="1">
      <alignment horizontal="left" vertical="center"/>
      <protection locked="0"/>
    </xf>
    <xf numFmtId="0" fontId="14" fillId="37" borderId="0" xfId="0" applyFont="1" applyFill="1" applyBorder="1" applyAlignment="1" applyProtection="1">
      <alignment horizontal="left" vertical="center"/>
      <protection locked="0"/>
    </xf>
    <xf numFmtId="0" fontId="14" fillId="37" borderId="24" xfId="0" applyFont="1" applyFill="1" applyBorder="1" applyAlignment="1" applyProtection="1">
      <alignment horizontal="left" vertical="center"/>
      <protection locked="0"/>
    </xf>
    <xf numFmtId="0" fontId="14" fillId="37" borderId="25" xfId="0" applyFont="1" applyFill="1" applyBorder="1" applyAlignment="1" applyProtection="1">
      <alignment horizontal="left" vertical="center"/>
      <protection locked="0"/>
    </xf>
    <xf numFmtId="0" fontId="14" fillId="37" borderId="26" xfId="0" applyFont="1" applyFill="1" applyBorder="1" applyAlignment="1" applyProtection="1">
      <alignment horizontal="left" vertical="center"/>
      <protection locked="0"/>
    </xf>
    <xf numFmtId="0" fontId="14" fillId="37" borderId="27" xfId="0" applyFont="1" applyFill="1" applyBorder="1" applyAlignment="1" applyProtection="1">
      <alignment horizontal="left" vertical="center"/>
      <protection locked="0"/>
    </xf>
    <xf numFmtId="0" fontId="12" fillId="11" borderId="21" xfId="0" applyFont="1" applyFill="1" applyBorder="1" applyAlignment="1" applyProtection="1">
      <alignment horizontal="center" vertical="center"/>
      <protection hidden="1"/>
    </xf>
    <xf numFmtId="0" fontId="12" fillId="11" borderId="26" xfId="0" applyFont="1" applyFill="1" applyBorder="1" applyAlignment="1" applyProtection="1">
      <alignment horizontal="center" vertical="center"/>
      <protection hidden="1"/>
    </xf>
    <xf numFmtId="0" fontId="12" fillId="11" borderId="22" xfId="0" applyFont="1" applyFill="1" applyBorder="1" applyAlignment="1" applyProtection="1">
      <alignment horizontal="center" vertical="center"/>
      <protection hidden="1"/>
    </xf>
    <xf numFmtId="0" fontId="12" fillId="11" borderId="27" xfId="0" applyFont="1" applyFill="1" applyBorder="1" applyAlignment="1" applyProtection="1">
      <alignment horizontal="center" vertical="center"/>
      <protection hidden="1"/>
    </xf>
    <xf numFmtId="0" fontId="10" fillId="10" borderId="20" xfId="0" applyFont="1" applyFill="1" applyBorder="1" applyAlignment="1" applyProtection="1">
      <alignment horizontal="left" vertical="center"/>
      <protection hidden="1"/>
    </xf>
    <xf numFmtId="0" fontId="10" fillId="10" borderId="21" xfId="0" applyFont="1" applyFill="1" applyBorder="1" applyAlignment="1" applyProtection="1">
      <alignment horizontal="left" vertical="center"/>
      <protection hidden="1"/>
    </xf>
    <xf numFmtId="0" fontId="10" fillId="10" borderId="22" xfId="0" applyFont="1" applyFill="1" applyBorder="1" applyAlignment="1" applyProtection="1">
      <alignment horizontal="left" vertical="center"/>
      <protection hidden="1"/>
    </xf>
    <xf numFmtId="0" fontId="10" fillId="10" borderId="23" xfId="0" applyFont="1" applyFill="1" applyBorder="1" applyAlignment="1" applyProtection="1">
      <alignment horizontal="left" vertical="center"/>
      <protection hidden="1"/>
    </xf>
    <xf numFmtId="0" fontId="10" fillId="10" borderId="0" xfId="0" applyFont="1" applyFill="1" applyBorder="1" applyAlignment="1" applyProtection="1">
      <alignment horizontal="left" vertical="center"/>
      <protection hidden="1"/>
    </xf>
    <xf numFmtId="0" fontId="10" fillId="10" borderId="24" xfId="0" applyFont="1" applyFill="1" applyBorder="1" applyAlignment="1" applyProtection="1">
      <alignment horizontal="left" vertical="center"/>
      <protection hidden="1"/>
    </xf>
    <xf numFmtId="0" fontId="3" fillId="7" borderId="23" xfId="0" applyNumberFormat="1" applyFont="1" applyFill="1" applyBorder="1" applyAlignment="1" applyProtection="1">
      <alignment horizontal="center" vertical="center" wrapText="1"/>
      <protection hidden="1"/>
    </xf>
    <xf numFmtId="16" fontId="3" fillId="7" borderId="43" xfId="0" applyNumberFormat="1" applyFont="1" applyFill="1" applyBorder="1" applyAlignment="1" applyProtection="1">
      <alignment horizontal="center" vertical="center" wrapText="1"/>
      <protection hidden="1"/>
    </xf>
    <xf numFmtId="16" fontId="3" fillId="7" borderId="23" xfId="0" applyNumberFormat="1" applyFont="1" applyFill="1" applyBorder="1" applyAlignment="1" applyProtection="1" quotePrefix="1">
      <alignment horizontal="center" vertical="center" wrapText="1"/>
      <protection hidden="1"/>
    </xf>
    <xf numFmtId="16" fontId="3" fillId="7" borderId="49" xfId="0" applyNumberFormat="1" applyFont="1" applyFill="1" applyBorder="1" applyAlignment="1" applyProtection="1" quotePrefix="1">
      <alignment horizontal="center" vertical="center" wrapText="1"/>
      <protection hidden="1"/>
    </xf>
    <xf numFmtId="1" fontId="13" fillId="35" borderId="0" xfId="0" applyNumberFormat="1" applyFont="1" applyFill="1" applyBorder="1" applyAlignment="1">
      <alignment horizontal="center"/>
    </xf>
    <xf numFmtId="0" fontId="15" fillId="11" borderId="51" xfId="0" applyFont="1" applyFill="1" applyBorder="1" applyAlignment="1">
      <alignment horizontal="center" wrapText="1"/>
    </xf>
    <xf numFmtId="0" fontId="15" fillId="11" borderId="36" xfId="0" applyFont="1" applyFill="1" applyBorder="1" applyAlignment="1">
      <alignment horizontal="center" wrapText="1"/>
    </xf>
    <xf numFmtId="0" fontId="15" fillId="11" borderId="35" xfId="0" applyFont="1" applyFill="1" applyBorder="1" applyAlignment="1">
      <alignment horizontal="center" wrapText="1"/>
    </xf>
    <xf numFmtId="0" fontId="15" fillId="35" borderId="0" xfId="0" applyFont="1" applyFill="1" applyBorder="1" applyAlignment="1">
      <alignment horizontal="center" wrapText="1"/>
    </xf>
    <xf numFmtId="0" fontId="24" fillId="11" borderId="20" xfId="0" applyFont="1" applyFill="1" applyBorder="1" applyAlignment="1" applyProtection="1">
      <alignment horizontal="center"/>
      <protection hidden="1"/>
    </xf>
    <xf numFmtId="0" fontId="24" fillId="11" borderId="21" xfId="0" applyFont="1" applyFill="1" applyBorder="1" applyAlignment="1" applyProtection="1">
      <alignment horizontal="center"/>
      <protection hidden="1"/>
    </xf>
    <xf numFmtId="0" fontId="24" fillId="11" borderId="22" xfId="0" applyFont="1" applyFill="1" applyBorder="1" applyAlignment="1" applyProtection="1">
      <alignment horizontal="center"/>
      <protection hidden="1"/>
    </xf>
    <xf numFmtId="0" fontId="10" fillId="10" borderId="25" xfId="0" applyFont="1" applyFill="1" applyBorder="1" applyAlignment="1" applyProtection="1">
      <alignment horizontal="left" vertical="center"/>
      <protection hidden="1"/>
    </xf>
    <xf numFmtId="0" fontId="10" fillId="10" borderId="26" xfId="0" applyFont="1" applyFill="1" applyBorder="1" applyAlignment="1" applyProtection="1">
      <alignment horizontal="left" vertical="center"/>
      <protection hidden="1"/>
    </xf>
    <xf numFmtId="0" fontId="10" fillId="10" borderId="27" xfId="0" applyFont="1" applyFill="1" applyBorder="1" applyAlignment="1" applyProtection="1">
      <alignment horizontal="left" vertical="center"/>
      <protection hidden="1"/>
    </xf>
    <xf numFmtId="0" fontId="14" fillId="37" borderId="20" xfId="0" applyNumberFormat="1" applyFont="1" applyFill="1" applyBorder="1" applyAlignment="1">
      <alignment horizontal="left" vertical="center"/>
    </xf>
    <xf numFmtId="0" fontId="14" fillId="37" borderId="21" xfId="0" applyNumberFormat="1" applyFont="1" applyFill="1" applyBorder="1" applyAlignment="1">
      <alignment horizontal="left" vertical="center"/>
    </xf>
    <xf numFmtId="0" fontId="14" fillId="37" borderId="22" xfId="0" applyNumberFormat="1" applyFont="1" applyFill="1" applyBorder="1" applyAlignment="1">
      <alignment horizontal="left" vertical="center"/>
    </xf>
    <xf numFmtId="0" fontId="14" fillId="37" borderId="23" xfId="0" applyNumberFormat="1" applyFont="1" applyFill="1" applyBorder="1" applyAlignment="1">
      <alignment horizontal="left" vertical="center"/>
    </xf>
    <xf numFmtId="0" fontId="14" fillId="37" borderId="0" xfId="0" applyNumberFormat="1" applyFont="1" applyFill="1" applyBorder="1" applyAlignment="1">
      <alignment horizontal="left" vertical="center"/>
    </xf>
    <xf numFmtId="0" fontId="14" fillId="37" borderId="24" xfId="0" applyNumberFormat="1" applyFont="1" applyFill="1" applyBorder="1" applyAlignment="1">
      <alignment horizontal="left" vertical="center"/>
    </xf>
    <xf numFmtId="0" fontId="14" fillId="37" borderId="25" xfId="0" applyNumberFormat="1" applyFont="1" applyFill="1" applyBorder="1" applyAlignment="1">
      <alignment horizontal="left" vertical="center"/>
    </xf>
    <xf numFmtId="0" fontId="14" fillId="37" borderId="26" xfId="0" applyNumberFormat="1" applyFont="1" applyFill="1" applyBorder="1" applyAlignment="1">
      <alignment horizontal="left" vertical="center"/>
    </xf>
    <xf numFmtId="0" fontId="14" fillId="37" borderId="27" xfId="0" applyNumberFormat="1" applyFont="1" applyFill="1" applyBorder="1" applyAlignment="1">
      <alignment horizontal="left" vertical="center"/>
    </xf>
    <xf numFmtId="0" fontId="15" fillId="35" borderId="0" xfId="0" applyFont="1" applyFill="1" applyBorder="1" applyAlignment="1" applyProtection="1">
      <alignment horizontal="right"/>
      <protection hidden="1"/>
    </xf>
    <xf numFmtId="0" fontId="13" fillId="5" borderId="48" xfId="0" applyFont="1" applyFill="1" applyBorder="1" applyAlignment="1">
      <alignment horizontal="left" wrapText="1"/>
    </xf>
    <xf numFmtId="0" fontId="13" fillId="5" borderId="40" xfId="0" applyFont="1" applyFill="1" applyBorder="1" applyAlignment="1">
      <alignment horizontal="left" wrapText="1"/>
    </xf>
    <xf numFmtId="0" fontId="13" fillId="5" borderId="56" xfId="0" applyFont="1" applyFill="1" applyBorder="1" applyAlignment="1">
      <alignment horizontal="left" wrapText="1"/>
    </xf>
    <xf numFmtId="0" fontId="13" fillId="5" borderId="149" xfId="0" applyFont="1" applyFill="1" applyBorder="1" applyAlignment="1">
      <alignment horizontal="left" wrapText="1"/>
    </xf>
    <xf numFmtId="0" fontId="13" fillId="5" borderId="150" xfId="0" applyFont="1" applyFill="1" applyBorder="1" applyAlignment="1">
      <alignment horizontal="left" wrapText="1"/>
    </xf>
    <xf numFmtId="0" fontId="13" fillId="5" borderId="137" xfId="0" applyFont="1" applyFill="1" applyBorder="1" applyAlignment="1">
      <alignment horizontal="left" wrapText="1"/>
    </xf>
    <xf numFmtId="0" fontId="53" fillId="5" borderId="38" xfId="0" applyFont="1" applyFill="1" applyBorder="1" applyAlignment="1">
      <alignment horizontal="left" wrapText="1"/>
    </xf>
    <xf numFmtId="0" fontId="53" fillId="5" borderId="41" xfId="0" applyFont="1" applyFill="1" applyBorder="1" applyAlignment="1">
      <alignment horizontal="left" wrapText="1"/>
    </xf>
    <xf numFmtId="0" fontId="15" fillId="5" borderId="151" xfId="0" applyFont="1" applyFill="1" applyBorder="1" applyAlignment="1">
      <alignment horizontal="left"/>
    </xf>
    <xf numFmtId="0" fontId="15" fillId="5" borderId="152" xfId="0" applyFont="1" applyFill="1" applyBorder="1" applyAlignment="1">
      <alignment horizontal="left"/>
    </xf>
    <xf numFmtId="0" fontId="15" fillId="5" borderId="153" xfId="0" applyFont="1" applyFill="1" applyBorder="1" applyAlignment="1">
      <alignment horizontal="left"/>
    </xf>
    <xf numFmtId="0" fontId="12" fillId="13" borderId="0" xfId="0" applyFont="1" applyFill="1" applyBorder="1" applyAlignment="1" applyProtection="1">
      <alignment horizontal="center" vertical="center"/>
      <protection hidden="1"/>
    </xf>
    <xf numFmtId="0" fontId="12" fillId="13" borderId="24" xfId="0" applyFont="1" applyFill="1" applyBorder="1" applyAlignment="1" applyProtection="1">
      <alignment horizontal="center" vertical="center"/>
      <protection hidden="1"/>
    </xf>
    <xf numFmtId="0" fontId="14" fillId="4" borderId="20" xfId="0" applyFont="1" applyFill="1" applyBorder="1" applyAlignment="1" applyProtection="1">
      <alignment horizontal="left" vertical="center"/>
      <protection/>
    </xf>
    <xf numFmtId="0" fontId="14" fillId="4" borderId="21" xfId="0" applyFont="1" applyFill="1" applyBorder="1" applyAlignment="1" applyProtection="1">
      <alignment horizontal="left" vertical="center"/>
      <protection/>
    </xf>
    <xf numFmtId="0" fontId="14" fillId="4" borderId="22" xfId="0" applyFont="1" applyFill="1" applyBorder="1" applyAlignment="1" applyProtection="1">
      <alignment horizontal="left" vertical="center"/>
      <protection/>
    </xf>
    <xf numFmtId="0" fontId="14" fillId="4" borderId="23" xfId="0" applyFont="1" applyFill="1" applyBorder="1" applyAlignment="1" applyProtection="1">
      <alignment horizontal="left" vertical="center"/>
      <protection/>
    </xf>
    <xf numFmtId="0" fontId="14" fillId="4" borderId="0" xfId="0" applyFont="1" applyFill="1" applyBorder="1" applyAlignment="1" applyProtection="1">
      <alignment horizontal="left" vertical="center"/>
      <protection/>
    </xf>
    <xf numFmtId="0" fontId="14" fillId="4" borderId="24" xfId="0" applyFont="1" applyFill="1" applyBorder="1" applyAlignment="1" applyProtection="1">
      <alignment horizontal="left" vertical="center"/>
      <protection/>
    </xf>
    <xf numFmtId="0" fontId="14" fillId="4" borderId="25" xfId="0" applyFont="1" applyFill="1" applyBorder="1" applyAlignment="1" applyProtection="1">
      <alignment horizontal="left" vertical="center"/>
      <protection/>
    </xf>
    <xf numFmtId="0" fontId="14" fillId="4" borderId="26" xfId="0" applyFont="1" applyFill="1" applyBorder="1" applyAlignment="1" applyProtection="1">
      <alignment horizontal="left" vertical="center"/>
      <protection/>
    </xf>
    <xf numFmtId="0" fontId="14" fillId="4" borderId="27" xfId="0" applyFont="1" applyFill="1" applyBorder="1" applyAlignment="1" applyProtection="1">
      <alignment horizontal="left" vertical="center"/>
      <protection/>
    </xf>
    <xf numFmtId="0" fontId="11" fillId="7" borderId="20" xfId="0" applyNumberFormat="1" applyFont="1" applyFill="1" applyBorder="1" applyAlignment="1" applyProtection="1">
      <alignment horizontal="center" vertical="center"/>
      <protection hidden="1"/>
    </xf>
    <xf numFmtId="0" fontId="11" fillId="7" borderId="23" xfId="0" applyNumberFormat="1" applyFont="1" applyFill="1" applyBorder="1" applyAlignment="1" applyProtection="1">
      <alignment horizontal="center" vertical="center"/>
      <protection hidden="1"/>
    </xf>
    <xf numFmtId="10" fontId="13" fillId="5" borderId="154" xfId="56" applyNumberFormat="1" applyFont="1" applyFill="1" applyBorder="1" applyAlignment="1">
      <alignment horizontal="center" wrapText="1"/>
    </xf>
    <xf numFmtId="10" fontId="13" fillId="5" borderId="155" xfId="56" applyNumberFormat="1" applyFont="1" applyFill="1" applyBorder="1" applyAlignment="1">
      <alignment horizontal="center" wrapText="1"/>
    </xf>
    <xf numFmtId="10" fontId="13" fillId="5" borderId="156" xfId="56" applyNumberFormat="1" applyFont="1" applyFill="1" applyBorder="1" applyAlignment="1">
      <alignment horizontal="center" wrapText="1"/>
    </xf>
    <xf numFmtId="10" fontId="13" fillId="5" borderId="157" xfId="56" applyNumberFormat="1" applyFont="1" applyFill="1" applyBorder="1" applyAlignment="1">
      <alignment horizontal="center" wrapText="1"/>
    </xf>
    <xf numFmtId="0" fontId="13" fillId="11" borderId="158" xfId="0" applyFont="1" applyFill="1" applyBorder="1" applyAlignment="1">
      <alignment horizontal="center"/>
    </xf>
    <xf numFmtId="0" fontId="13" fillId="11" borderId="142" xfId="0" applyFont="1" applyFill="1" applyBorder="1" applyAlignment="1">
      <alignment horizontal="center"/>
    </xf>
    <xf numFmtId="10" fontId="13" fillId="5" borderId="159" xfId="56" applyNumberFormat="1" applyFont="1" applyFill="1" applyBorder="1" applyAlignment="1">
      <alignment horizontal="center" wrapText="1"/>
    </xf>
    <xf numFmtId="10" fontId="13" fillId="5" borderId="54" xfId="56" applyNumberFormat="1" applyFont="1" applyFill="1" applyBorder="1" applyAlignment="1">
      <alignment horizontal="center" wrapText="1"/>
    </xf>
    <xf numFmtId="0" fontId="42" fillId="37" borderId="20" xfId="0" applyFont="1" applyFill="1" applyBorder="1" applyAlignment="1" applyProtection="1">
      <alignment horizontal="left" vertical="center"/>
      <protection locked="0"/>
    </xf>
    <xf numFmtId="0" fontId="42" fillId="37" borderId="21" xfId="0" applyFont="1" applyFill="1" applyBorder="1" applyAlignment="1" applyProtection="1">
      <alignment horizontal="left" vertical="center"/>
      <protection locked="0"/>
    </xf>
    <xf numFmtId="0" fontId="42" fillId="37" borderId="22" xfId="0" applyFont="1" applyFill="1" applyBorder="1" applyAlignment="1" applyProtection="1">
      <alignment horizontal="left" vertical="center"/>
      <protection locked="0"/>
    </xf>
    <xf numFmtId="0" fontId="42" fillId="37" borderId="23" xfId="0" applyFont="1" applyFill="1" applyBorder="1" applyAlignment="1" applyProtection="1">
      <alignment horizontal="left" vertical="center"/>
      <protection locked="0"/>
    </xf>
    <xf numFmtId="0" fontId="42" fillId="37" borderId="0" xfId="0" applyFont="1" applyFill="1" applyBorder="1" applyAlignment="1" applyProtection="1">
      <alignment horizontal="left" vertical="center"/>
      <protection locked="0"/>
    </xf>
    <xf numFmtId="0" fontId="42" fillId="37" borderId="24" xfId="0" applyFont="1" applyFill="1" applyBorder="1" applyAlignment="1" applyProtection="1">
      <alignment horizontal="left" vertical="center"/>
      <protection locked="0"/>
    </xf>
    <xf numFmtId="0" fontId="42" fillId="37" borderId="25" xfId="0" applyFont="1" applyFill="1" applyBorder="1" applyAlignment="1" applyProtection="1">
      <alignment horizontal="left" vertical="center"/>
      <protection locked="0"/>
    </xf>
    <xf numFmtId="0" fontId="42" fillId="37" borderId="26" xfId="0" applyFont="1" applyFill="1" applyBorder="1" applyAlignment="1" applyProtection="1">
      <alignment horizontal="left" vertical="center"/>
      <protection locked="0"/>
    </xf>
    <xf numFmtId="0" fontId="42" fillId="37" borderId="27" xfId="0" applyFont="1" applyFill="1" applyBorder="1" applyAlignment="1" applyProtection="1">
      <alignment horizontal="left" vertical="center"/>
      <protection locked="0"/>
    </xf>
    <xf numFmtId="0" fontId="38" fillId="13" borderId="22" xfId="49" applyFont="1" applyFill="1" applyBorder="1" applyAlignment="1" applyProtection="1">
      <alignment horizontal="center" vertical="center"/>
      <protection hidden="1"/>
    </xf>
    <xf numFmtId="0" fontId="38" fillId="13" borderId="27" xfId="49" applyFont="1" applyFill="1" applyBorder="1" applyAlignment="1" applyProtection="1">
      <alignment horizontal="center" vertical="center"/>
      <protection hidden="1"/>
    </xf>
    <xf numFmtId="0" fontId="38" fillId="13" borderId="38" xfId="49" applyFont="1" applyFill="1" applyBorder="1" applyAlignment="1" applyProtection="1">
      <alignment horizontal="center" vertical="center"/>
      <protection hidden="1"/>
    </xf>
    <xf numFmtId="0" fontId="38" fillId="13" borderId="41" xfId="49" applyFont="1" applyFill="1" applyBorder="1" applyAlignment="1" applyProtection="1">
      <alignment horizontal="center" vertical="center"/>
      <protection hidden="1"/>
    </xf>
    <xf numFmtId="0" fontId="12" fillId="36" borderId="110" xfId="50" applyFont="1" applyFill="1" applyBorder="1" applyAlignment="1" applyProtection="1">
      <alignment horizontal="left"/>
      <protection hidden="1"/>
    </xf>
    <xf numFmtId="0" fontId="12" fillId="36" borderId="95" xfId="50" applyFont="1" applyFill="1" applyBorder="1" applyAlignment="1" applyProtection="1">
      <alignment horizontal="left"/>
      <protection hidden="1"/>
    </xf>
    <xf numFmtId="0" fontId="12" fillId="36" borderId="105" xfId="50" applyFont="1" applyFill="1" applyBorder="1" applyAlignment="1" applyProtection="1">
      <alignment horizontal="left"/>
      <protection hidden="1"/>
    </xf>
    <xf numFmtId="0" fontId="12" fillId="36" borderId="160" xfId="52" applyFont="1" applyFill="1" applyBorder="1" applyAlignment="1" applyProtection="1">
      <alignment horizontal="center" vertical="center"/>
      <protection hidden="1"/>
    </xf>
    <xf numFmtId="0" fontId="12" fillId="36" borderId="95" xfId="52" applyFont="1" applyFill="1" applyBorder="1" applyAlignment="1" applyProtection="1">
      <alignment horizontal="center" vertical="center"/>
      <protection hidden="1"/>
    </xf>
    <xf numFmtId="0" fontId="12" fillId="36" borderId="161" xfId="52" applyFont="1" applyFill="1" applyBorder="1" applyAlignment="1" applyProtection="1">
      <alignment horizontal="center" vertical="center"/>
      <protection hidden="1"/>
    </xf>
    <xf numFmtId="0" fontId="12" fillId="36" borderId="96" xfId="52" applyFont="1" applyFill="1" applyBorder="1" applyAlignment="1" applyProtection="1">
      <alignment horizontal="center" vertical="center"/>
      <protection hidden="1"/>
    </xf>
    <xf numFmtId="0" fontId="12" fillId="36" borderId="162" xfId="50" applyFont="1" applyFill="1" applyBorder="1" applyAlignment="1" applyProtection="1">
      <alignment horizontal="left"/>
      <protection hidden="1"/>
    </xf>
    <xf numFmtId="0" fontId="12" fillId="36" borderId="109" xfId="50" applyFont="1" applyFill="1" applyBorder="1" applyAlignment="1" applyProtection="1">
      <alignment horizontal="left"/>
      <protection hidden="1"/>
    </xf>
    <xf numFmtId="0" fontId="12" fillId="36" borderId="163" xfId="50" applyFont="1" applyFill="1" applyBorder="1" applyAlignment="1" applyProtection="1">
      <alignment horizontal="left"/>
      <protection hidden="1"/>
    </xf>
    <xf numFmtId="0" fontId="12" fillId="36" borderId="164" xfId="50" applyFont="1" applyFill="1" applyBorder="1" applyAlignment="1" applyProtection="1">
      <alignment horizontal="left"/>
      <protection hidden="1"/>
    </xf>
    <xf numFmtId="0" fontId="12" fillId="36" borderId="165" xfId="50" applyFont="1" applyFill="1" applyBorder="1" applyAlignment="1" applyProtection="1">
      <alignment horizontal="left"/>
      <protection hidden="1"/>
    </xf>
    <xf numFmtId="0" fontId="12" fillId="36" borderId="166" xfId="50" applyFont="1" applyFill="1" applyBorder="1" applyAlignment="1" applyProtection="1">
      <alignment horizontal="left"/>
      <protection hidden="1"/>
    </xf>
    <xf numFmtId="0" fontId="12" fillId="36" borderId="167" xfId="52" applyFont="1" applyFill="1" applyBorder="1" applyAlignment="1" applyProtection="1">
      <alignment horizontal="center" vertical="center"/>
      <protection hidden="1"/>
    </xf>
    <xf numFmtId="0" fontId="12" fillId="36" borderId="110" xfId="52" applyFont="1" applyFill="1" applyBorder="1" applyAlignment="1" applyProtection="1">
      <alignment horizontal="center" vertical="center"/>
      <protection hidden="1"/>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e, oddel tisice" xfId="33"/>
    <cellStyle name="Celkem" xfId="34"/>
    <cellStyle name="Čárka 2" xfId="35"/>
    <cellStyle name="Čárka 3" xfId="36"/>
    <cellStyle name="Comma" xfId="37"/>
    <cellStyle name="Comma [0]" xfId="38"/>
    <cellStyle name="Chybně" xfId="39"/>
    <cellStyle name="Kontrolní buňka" xfId="40"/>
    <cellStyle name="Currency" xfId="41"/>
    <cellStyle name="Currency [0]" xfId="42"/>
    <cellStyle name="Nadpis 1" xfId="43"/>
    <cellStyle name="Nadpis 2" xfId="44"/>
    <cellStyle name="Nadpis 3" xfId="45"/>
    <cellStyle name="Nadpis 4" xfId="46"/>
    <cellStyle name="Název" xfId="47"/>
    <cellStyle name="Neutrální" xfId="48"/>
    <cellStyle name="Normal_Aktivita 1 vodovod Kotesova 2004-05-25" xfId="49"/>
    <cellStyle name="Normal_Aktivita 1 vodovod Kotesova 2004-05-25 2" xfId="50"/>
    <cellStyle name="Normální 10" xfId="51"/>
    <cellStyle name="Normální 2" xfId="52"/>
    <cellStyle name="Normální 3" xfId="53"/>
    <cellStyle name="normální_!výpočty_-_HosPa_final_11_05_09" xfId="54"/>
    <cellStyle name="Poznámka" xfId="55"/>
    <cellStyle name="Percent" xfId="56"/>
    <cellStyle name="Procenta 2" xfId="57"/>
    <cellStyle name="Propojená buňka" xfId="58"/>
    <cellStyle name="Správně" xfId="59"/>
    <cellStyle name="Text upozornění" xfId="60"/>
    <cellStyle name="Vstup" xfId="61"/>
    <cellStyle name="Výpočet" xfId="62"/>
    <cellStyle name="Výstup" xfId="63"/>
    <cellStyle name="Vysvětlující text" xfId="64"/>
    <cellStyle name="Zadano" xfId="65"/>
    <cellStyle name="Zvýraznění 1" xfId="66"/>
    <cellStyle name="Zvýraznění 2" xfId="67"/>
    <cellStyle name="Zvýraznění 3" xfId="68"/>
    <cellStyle name="Zvýraznění 4" xfId="69"/>
    <cellStyle name="Zvýraznění 5" xfId="70"/>
    <cellStyle name="Zvýraznění 6" xfId="71"/>
  </cellStyles>
  <dxfs count="11">
    <dxf>
      <font>
        <color indexed="10"/>
      </font>
    </dxf>
    <dxf>
      <font>
        <color indexed="10"/>
      </font>
    </dxf>
    <dxf>
      <font>
        <color indexed="10"/>
      </font>
    </dxf>
    <dxf>
      <font>
        <color indexed="14"/>
      </font>
    </dxf>
    <dxf>
      <font>
        <color indexed="10"/>
      </font>
    </dxf>
    <dxf>
      <font>
        <color indexed="10"/>
      </font>
    </dxf>
    <dxf>
      <font>
        <color indexed="48"/>
      </font>
      <fill>
        <patternFill patternType="none">
          <bgColor indexed="65"/>
        </patternFill>
      </fill>
    </dxf>
    <dxf>
      <font>
        <color indexed="14"/>
      </font>
    </dxf>
    <dxf>
      <font>
        <color indexed="10"/>
      </font>
    </dxf>
    <dxf>
      <font>
        <color rgb="FF9C0006"/>
      </font>
      <fill>
        <patternFill>
          <bgColor rgb="FFFFC7CE"/>
        </patternFill>
      </fill>
    </dxf>
    <dxf>
      <fill>
        <patternFill>
          <bgColor theme="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tabColor theme="1"/>
    <pageSetUpPr fitToPage="1"/>
  </sheetPr>
  <dimension ref="A2:O89"/>
  <sheetViews>
    <sheetView tabSelected="1" zoomScale="80" zoomScaleNormal="80" zoomScaleSheetLayoutView="100" zoomScalePageLayoutView="0" workbookViewId="0" topLeftCell="A1">
      <selection activeCell="M37" sqref="M37"/>
    </sheetView>
  </sheetViews>
  <sheetFormatPr defaultColWidth="11.421875" defaultRowHeight="12.75"/>
  <cols>
    <col min="1" max="1" width="3.28125" style="38" customWidth="1"/>
    <col min="2" max="2" width="5.00390625" style="0" customWidth="1"/>
    <col min="3" max="6" width="14.7109375" style="0" customWidth="1"/>
    <col min="7" max="7" width="16.421875" style="0" customWidth="1"/>
    <col min="8" max="8" width="13.7109375" style="0" customWidth="1"/>
    <col min="9" max="9" width="15.140625" style="0" customWidth="1"/>
    <col min="10" max="14" width="14.7109375" style="0" customWidth="1"/>
    <col min="15" max="15" width="5.00390625" style="0" customWidth="1"/>
    <col min="16" max="104" width="11.421875" style="38" customWidth="1"/>
  </cols>
  <sheetData>
    <row r="1" s="38" customFormat="1" ht="13.5" thickBot="1"/>
    <row r="2" spans="2:15" ht="12.75">
      <c r="B2" s="1"/>
      <c r="C2" s="2"/>
      <c r="D2" s="2"/>
      <c r="E2" s="2"/>
      <c r="F2" s="2"/>
      <c r="G2" s="2"/>
      <c r="H2" s="2"/>
      <c r="I2" s="2"/>
      <c r="J2" s="2"/>
      <c r="K2" s="2"/>
      <c r="L2" s="2"/>
      <c r="M2" s="2"/>
      <c r="N2" s="2"/>
      <c r="O2" s="3"/>
    </row>
    <row r="3" spans="2:15" ht="16.5" thickBot="1">
      <c r="B3" s="4"/>
      <c r="C3" s="24" t="str">
        <f>IF(M3="English",Slovnik!D5,Slovnik!C5)</f>
        <v>Úvod</v>
      </c>
      <c r="D3" s="25"/>
      <c r="E3" s="25"/>
      <c r="F3" s="25"/>
      <c r="G3" s="25"/>
      <c r="H3" s="25"/>
      <c r="I3" s="25"/>
      <c r="J3" s="25"/>
      <c r="K3" s="25"/>
      <c r="L3" s="278" t="str">
        <f>IF(M3="English",Slovnik!D4,Slovnik!C4)</f>
        <v>Jazyk</v>
      </c>
      <c r="M3" s="1186" t="s">
        <v>209</v>
      </c>
      <c r="N3" s="26" t="str">
        <f>IF(M3="English",Slovnik!D3,Slovnik!C3)</f>
        <v>Verze 1.05</v>
      </c>
      <c r="O3" s="5"/>
    </row>
    <row r="4" spans="2:15" ht="12.75" customHeight="1" thickTop="1">
      <c r="B4" s="4"/>
      <c r="C4" s="1239" t="str">
        <f>IF(M3="English",Slovnik!H6,Slovnik!H5)</f>
        <v>Tento model slouží jako podklad pro zpracování CBA projektů na vodní infrastruktuře. Model je založen na analýze výnosů a nákladů a je plně v souladu s metodikou současné Evropské komise o CBA</v>
      </c>
      <c r="D4" s="1239"/>
      <c r="E4" s="1239"/>
      <c r="F4" s="1239"/>
      <c r="G4" s="1239"/>
      <c r="H4" s="1239"/>
      <c r="I4" s="1239"/>
      <c r="J4" s="1239"/>
      <c r="K4" s="1239"/>
      <c r="L4" s="1239"/>
      <c r="M4" s="1239"/>
      <c r="N4" s="1239"/>
      <c r="O4" s="5"/>
    </row>
    <row r="5" spans="2:15" ht="12.75" customHeight="1">
      <c r="B5" s="4"/>
      <c r="C5" s="1240"/>
      <c r="D5" s="1240"/>
      <c r="E5" s="1240"/>
      <c r="F5" s="1240"/>
      <c r="G5" s="1240"/>
      <c r="H5" s="1240"/>
      <c r="I5" s="1240"/>
      <c r="J5" s="1240"/>
      <c r="K5" s="1240"/>
      <c r="L5" s="1240"/>
      <c r="M5" s="1240"/>
      <c r="N5" s="1240"/>
      <c r="O5" s="5"/>
    </row>
    <row r="6" spans="2:15" ht="12.75" customHeight="1">
      <c r="B6" s="4"/>
      <c r="C6" s="1240"/>
      <c r="D6" s="1240"/>
      <c r="E6" s="1240"/>
      <c r="F6" s="1240"/>
      <c r="G6" s="1240"/>
      <c r="H6" s="1240"/>
      <c r="I6" s="1240"/>
      <c r="J6" s="1240"/>
      <c r="K6" s="1240"/>
      <c r="L6" s="1240"/>
      <c r="M6" s="1240"/>
      <c r="N6" s="1240"/>
      <c r="O6" s="5"/>
    </row>
    <row r="7" spans="2:15" ht="12.75" customHeight="1">
      <c r="B7" s="4"/>
      <c r="C7" s="1240"/>
      <c r="D7" s="1240"/>
      <c r="E7" s="1240"/>
      <c r="F7" s="1240"/>
      <c r="G7" s="1240"/>
      <c r="H7" s="1240"/>
      <c r="I7" s="1240"/>
      <c r="J7" s="1240"/>
      <c r="K7" s="1240"/>
      <c r="L7" s="1240"/>
      <c r="M7" s="1240"/>
      <c r="N7" s="1240"/>
      <c r="O7" s="5"/>
    </row>
    <row r="8" spans="2:15" ht="12.75" customHeight="1">
      <c r="B8" s="4"/>
      <c r="C8" s="6"/>
      <c r="D8" s="6"/>
      <c r="E8" s="6"/>
      <c r="F8" s="6"/>
      <c r="G8" s="6"/>
      <c r="H8" s="6"/>
      <c r="I8" s="6"/>
      <c r="J8" s="6"/>
      <c r="K8" s="1241" t="s">
        <v>595</v>
      </c>
      <c r="L8" s="1241"/>
      <c r="M8" s="1241"/>
      <c r="N8" s="1241"/>
      <c r="O8" s="5"/>
    </row>
    <row r="9" spans="2:15" ht="12.75" customHeight="1" thickBot="1">
      <c r="B9" s="7"/>
      <c r="C9" s="8"/>
      <c r="D9" s="8"/>
      <c r="E9" s="8"/>
      <c r="F9" s="8"/>
      <c r="G9" s="8"/>
      <c r="H9" s="8"/>
      <c r="I9" s="8"/>
      <c r="J9" s="8"/>
      <c r="K9" s="8"/>
      <c r="L9" s="8"/>
      <c r="M9" s="8"/>
      <c r="N9" s="8"/>
      <c r="O9" s="9"/>
    </row>
    <row r="10" spans="2:15" s="38" customFormat="1" ht="12.75" customHeight="1" thickBot="1">
      <c r="B10" s="39"/>
      <c r="C10" s="40"/>
      <c r="D10" s="40"/>
      <c r="E10" s="40"/>
      <c r="F10" s="40"/>
      <c r="G10" s="40"/>
      <c r="H10" s="40"/>
      <c r="I10" s="40"/>
      <c r="J10" s="40"/>
      <c r="K10" s="40"/>
      <c r="L10" s="40"/>
      <c r="M10" s="40"/>
      <c r="N10" s="40"/>
      <c r="O10" s="40"/>
    </row>
    <row r="11" spans="2:15" ht="12.75" customHeight="1">
      <c r="B11" s="1"/>
      <c r="C11" s="2"/>
      <c r="D11" s="2"/>
      <c r="E11" s="2"/>
      <c r="F11" s="2"/>
      <c r="G11" s="2"/>
      <c r="H11" s="2"/>
      <c r="I11" s="2"/>
      <c r="J11" s="2"/>
      <c r="K11" s="2"/>
      <c r="L11" s="2"/>
      <c r="M11" s="2"/>
      <c r="N11" s="2"/>
      <c r="O11" s="3"/>
    </row>
    <row r="12" spans="2:15" ht="12.75" customHeight="1" thickBot="1">
      <c r="B12" s="4"/>
      <c r="C12" s="24" t="str">
        <f>IF(M3="English",Slovnik!D6,Slovnik!C6)</f>
        <v>Základní informace</v>
      </c>
      <c r="D12" s="25"/>
      <c r="E12" s="25"/>
      <c r="F12" s="25"/>
      <c r="G12" s="25"/>
      <c r="H12" s="25"/>
      <c r="I12" s="25"/>
      <c r="J12" s="25"/>
      <c r="K12" s="25"/>
      <c r="L12" s="25"/>
      <c r="M12" s="25"/>
      <c r="N12" s="25"/>
      <c r="O12" s="5"/>
    </row>
    <row r="13" spans="2:15" ht="12.75" customHeight="1" thickBot="1" thickTop="1">
      <c r="B13" s="4"/>
      <c r="C13" s="10"/>
      <c r="D13" s="10"/>
      <c r="E13" s="10"/>
      <c r="F13" s="10"/>
      <c r="G13" s="10"/>
      <c r="H13" s="10"/>
      <c r="I13" s="10"/>
      <c r="J13" s="10"/>
      <c r="K13" s="10"/>
      <c r="L13" s="10"/>
      <c r="M13" s="10"/>
      <c r="N13" s="10"/>
      <c r="O13" s="5"/>
    </row>
    <row r="14" spans="2:15" ht="17.25" customHeight="1" thickBot="1">
      <c r="B14" s="4"/>
      <c r="C14" s="11" t="str">
        <f>IF(M3="English",Slovnik!D7,Slovnik!C7)</f>
        <v>Zdroj dat</v>
      </c>
      <c r="D14" s="1246"/>
      <c r="E14" s="1247"/>
      <c r="F14" s="1247"/>
      <c r="G14" s="1247"/>
      <c r="H14" s="1247"/>
      <c r="I14" s="1247"/>
      <c r="J14" s="1247"/>
      <c r="K14" s="1247"/>
      <c r="L14" s="1247"/>
      <c r="M14" s="1247"/>
      <c r="N14" s="1248"/>
      <c r="O14" s="5"/>
    </row>
    <row r="15" spans="2:15" ht="12.75" customHeight="1" thickBot="1">
      <c r="B15" s="4"/>
      <c r="C15" s="10"/>
      <c r="D15" s="10"/>
      <c r="E15" s="10"/>
      <c r="F15" s="10"/>
      <c r="G15" s="10"/>
      <c r="H15" s="10"/>
      <c r="I15" s="10"/>
      <c r="J15" s="10"/>
      <c r="K15" s="10"/>
      <c r="L15" s="10"/>
      <c r="M15" s="10"/>
      <c r="N15" s="10"/>
      <c r="O15" s="5"/>
    </row>
    <row r="16" spans="2:15" ht="17.25" customHeight="1" thickBot="1">
      <c r="B16" s="4"/>
      <c r="C16" s="12" t="str">
        <f>IF(M3="English",Slovnik!D8,Slovnik!C8)</f>
        <v>Diskontní sazba FA</v>
      </c>
      <c r="D16" s="1236">
        <v>0.05</v>
      </c>
      <c r="E16" s="10"/>
      <c r="F16" s="12" t="str">
        <f>IF(M3="English",Slovnik!D10,Slovnik!C10)</f>
        <v>Cenová úroveň</v>
      </c>
      <c r="G16" s="1235">
        <f>G18</f>
        <v>2014</v>
      </c>
      <c r="H16" s="10"/>
      <c r="I16" s="12" t="str">
        <f>IF(M3="English",Slovnik!D12,Slovnik!C12)</f>
        <v>Začátek provozu</v>
      </c>
      <c r="J16" s="1188"/>
      <c r="K16" s="13"/>
      <c r="L16" s="13"/>
      <c r="M16" s="12" t="str">
        <f>IF(M3="English",Slovnik!D14,Slovnik!C14)</f>
        <v>Směnný kurz</v>
      </c>
      <c r="N16" s="1188">
        <v>26.38</v>
      </c>
      <c r="O16" s="5"/>
    </row>
    <row r="17" spans="2:15" ht="9.75" customHeight="1" thickBot="1">
      <c r="B17" s="4"/>
      <c r="C17" s="12"/>
      <c r="D17" s="14"/>
      <c r="E17" s="10"/>
      <c r="F17" s="12"/>
      <c r="G17" s="14"/>
      <c r="H17" s="10"/>
      <c r="I17" s="12"/>
      <c r="J17" s="14"/>
      <c r="K17" s="10"/>
      <c r="L17" s="10"/>
      <c r="M17" s="14"/>
      <c r="N17" s="10"/>
      <c r="O17" s="5"/>
    </row>
    <row r="18" spans="2:15" ht="17.25" customHeight="1" thickBot="1">
      <c r="B18" s="4"/>
      <c r="C18" s="12" t="str">
        <f>IF(M3="English",Slovnik!D9,Slovnik!C9)</f>
        <v>Diskontní sazba EA</v>
      </c>
      <c r="D18" s="1236">
        <v>0.055</v>
      </c>
      <c r="E18" s="10"/>
      <c r="F18" s="12" t="str">
        <f>IF(M3="English",Slovnik!D11,Slovnik!C11)</f>
        <v>Začátek stavebních prací</v>
      </c>
      <c r="G18" s="1188">
        <v>2014</v>
      </c>
      <c r="H18" s="10"/>
      <c r="I18" s="12" t="str">
        <f>IF(M3="English",Slovnik!D13,Slovnik!C13)</f>
        <v>Doba hodnocení</v>
      </c>
      <c r="J18" s="1188"/>
      <c r="K18" s="10"/>
      <c r="L18" s="10"/>
      <c r="M18" s="12" t="str">
        <f>IF(M3="English",Slovnik!D15,Slovnik!C15)</f>
        <v>DPH</v>
      </c>
      <c r="N18" s="1187">
        <v>0.21</v>
      </c>
      <c r="O18" s="5"/>
    </row>
    <row r="19" spans="2:15" ht="12.75" customHeight="1" thickBot="1">
      <c r="B19" s="7"/>
      <c r="C19" s="8"/>
      <c r="D19" s="8"/>
      <c r="E19" s="8"/>
      <c r="F19" s="8"/>
      <c r="G19" s="8"/>
      <c r="H19" s="8"/>
      <c r="I19" s="8"/>
      <c r="J19" s="8"/>
      <c r="K19" s="8"/>
      <c r="L19" s="8"/>
      <c r="M19" s="8"/>
      <c r="N19" s="8"/>
      <c r="O19" s="9"/>
    </row>
    <row r="20" s="38" customFormat="1" ht="12.75" customHeight="1" thickBot="1"/>
    <row r="21" spans="2:15" ht="12.75" customHeight="1">
      <c r="B21" s="1"/>
      <c r="C21" s="2"/>
      <c r="D21" s="2"/>
      <c r="E21" s="2"/>
      <c r="F21" s="2"/>
      <c r="G21" s="2"/>
      <c r="H21" s="2"/>
      <c r="I21" s="2"/>
      <c r="J21" s="2"/>
      <c r="K21" s="2"/>
      <c r="L21" s="2"/>
      <c r="M21" s="2"/>
      <c r="N21" s="2"/>
      <c r="O21" s="3"/>
    </row>
    <row r="22" spans="2:15" ht="12.75" customHeight="1" thickBot="1">
      <c r="B22" s="4"/>
      <c r="C22" s="24" t="str">
        <f>IF(M3="English",Slovnik!D16,Slovnik!C16)</f>
        <v>Popis scénáře bez projektu</v>
      </c>
      <c r="D22" s="25"/>
      <c r="E22" s="25"/>
      <c r="F22" s="25"/>
      <c r="G22" s="25"/>
      <c r="H22" s="25"/>
      <c r="I22" s="25"/>
      <c r="J22" s="25"/>
      <c r="K22" s="25"/>
      <c r="L22" s="25"/>
      <c r="M22" s="25"/>
      <c r="N22" s="25"/>
      <c r="O22" s="5"/>
    </row>
    <row r="23" spans="2:15" ht="12.75" customHeight="1" thickTop="1">
      <c r="B23" s="4"/>
      <c r="C23" s="1250"/>
      <c r="D23" s="1250"/>
      <c r="E23" s="1250"/>
      <c r="F23" s="1250"/>
      <c r="G23" s="1250"/>
      <c r="H23" s="1250"/>
      <c r="I23" s="1250"/>
      <c r="J23" s="1250"/>
      <c r="K23" s="1250"/>
      <c r="L23" s="1250"/>
      <c r="M23" s="1250"/>
      <c r="N23" s="1250"/>
      <c r="O23" s="5"/>
    </row>
    <row r="24" spans="2:15" ht="12.75" customHeight="1">
      <c r="B24" s="4"/>
      <c r="C24" s="1251"/>
      <c r="D24" s="1251"/>
      <c r="E24" s="1251"/>
      <c r="F24" s="1251"/>
      <c r="G24" s="1251"/>
      <c r="H24" s="1251"/>
      <c r="I24" s="1251"/>
      <c r="J24" s="1251"/>
      <c r="K24" s="1251"/>
      <c r="L24" s="1251"/>
      <c r="M24" s="1251"/>
      <c r="N24" s="1251"/>
      <c r="O24" s="5"/>
    </row>
    <row r="25" spans="2:15" ht="12.75" customHeight="1">
      <c r="B25" s="4"/>
      <c r="C25" s="1251"/>
      <c r="D25" s="1251"/>
      <c r="E25" s="1251"/>
      <c r="F25" s="1251"/>
      <c r="G25" s="1251"/>
      <c r="H25" s="1251"/>
      <c r="I25" s="1251"/>
      <c r="J25" s="1251"/>
      <c r="K25" s="1251"/>
      <c r="L25" s="1251"/>
      <c r="M25" s="1251"/>
      <c r="N25" s="1251"/>
      <c r="O25" s="5"/>
    </row>
    <row r="26" spans="2:15" ht="12.75" customHeight="1">
      <c r="B26" s="4"/>
      <c r="C26" s="1251"/>
      <c r="D26" s="1251"/>
      <c r="E26" s="1251"/>
      <c r="F26" s="1251"/>
      <c r="G26" s="1251"/>
      <c r="H26" s="1251"/>
      <c r="I26" s="1251"/>
      <c r="J26" s="1251"/>
      <c r="K26" s="1251"/>
      <c r="L26" s="1251"/>
      <c r="M26" s="1251"/>
      <c r="N26" s="1251"/>
      <c r="O26" s="5"/>
    </row>
    <row r="27" spans="2:15" ht="21.75" customHeight="1" thickBot="1">
      <c r="B27" s="4"/>
      <c r="C27" s="24" t="str">
        <f>IF(M3="English",Slovnik!D17,Slovnik!C17)</f>
        <v>Popis scénáře s projektem</v>
      </c>
      <c r="D27" s="25"/>
      <c r="E27" s="25"/>
      <c r="F27" s="25"/>
      <c r="G27" s="25"/>
      <c r="H27" s="25"/>
      <c r="I27" s="25"/>
      <c r="J27" s="25"/>
      <c r="K27" s="25"/>
      <c r="L27" s="25"/>
      <c r="M27" s="25"/>
      <c r="N27" s="25"/>
      <c r="O27" s="5"/>
    </row>
    <row r="28" spans="2:15" ht="12.75" customHeight="1" thickTop="1">
      <c r="B28" s="4"/>
      <c r="C28" s="1250"/>
      <c r="D28" s="1250"/>
      <c r="E28" s="1250"/>
      <c r="F28" s="1250"/>
      <c r="G28" s="1250"/>
      <c r="H28" s="1250"/>
      <c r="I28" s="1250"/>
      <c r="J28" s="1250"/>
      <c r="K28" s="1250"/>
      <c r="L28" s="1250"/>
      <c r="M28" s="1250"/>
      <c r="N28" s="1250"/>
      <c r="O28" s="5"/>
    </row>
    <row r="29" spans="2:15" ht="12.75" customHeight="1">
      <c r="B29" s="4"/>
      <c r="C29" s="1251"/>
      <c r="D29" s="1251"/>
      <c r="E29" s="1251"/>
      <c r="F29" s="1251"/>
      <c r="G29" s="1251"/>
      <c r="H29" s="1251"/>
      <c r="I29" s="1251"/>
      <c r="J29" s="1251"/>
      <c r="K29" s="1251"/>
      <c r="L29" s="1251"/>
      <c r="M29" s="1251"/>
      <c r="N29" s="1251"/>
      <c r="O29" s="5"/>
    </row>
    <row r="30" spans="2:15" ht="12.75" customHeight="1">
      <c r="B30" s="4"/>
      <c r="C30" s="1251"/>
      <c r="D30" s="1251"/>
      <c r="E30" s="1251"/>
      <c r="F30" s="1251"/>
      <c r="G30" s="1251"/>
      <c r="H30" s="1251"/>
      <c r="I30" s="1251"/>
      <c r="J30" s="1251"/>
      <c r="K30" s="1251"/>
      <c r="L30" s="1251"/>
      <c r="M30" s="1251"/>
      <c r="N30" s="1251"/>
      <c r="O30" s="5"/>
    </row>
    <row r="31" spans="2:15" ht="12.75" customHeight="1">
      <c r="B31" s="4"/>
      <c r="C31" s="1251"/>
      <c r="D31" s="1251"/>
      <c r="E31" s="1251"/>
      <c r="F31" s="1251"/>
      <c r="G31" s="1251"/>
      <c r="H31" s="1251"/>
      <c r="I31" s="1251"/>
      <c r="J31" s="1251"/>
      <c r="K31" s="1251"/>
      <c r="L31" s="1251"/>
      <c r="M31" s="1251"/>
      <c r="N31" s="1251"/>
      <c r="O31" s="5"/>
    </row>
    <row r="32" spans="2:15" ht="12.75" customHeight="1" thickBot="1">
      <c r="B32" s="7"/>
      <c r="C32" s="8"/>
      <c r="D32" s="8"/>
      <c r="E32" s="8"/>
      <c r="F32" s="8"/>
      <c r="G32" s="8"/>
      <c r="H32" s="8"/>
      <c r="I32" s="8"/>
      <c r="J32" s="8"/>
      <c r="K32" s="8"/>
      <c r="L32" s="8"/>
      <c r="M32" s="8"/>
      <c r="N32" s="8"/>
      <c r="O32" s="9"/>
    </row>
    <row r="33" s="38" customFormat="1" ht="12.75" customHeight="1" thickBot="1"/>
    <row r="34" spans="2:15" ht="12.75" customHeight="1">
      <c r="B34" s="1"/>
      <c r="C34" s="2"/>
      <c r="D34" s="2"/>
      <c r="E34" s="2"/>
      <c r="F34" s="2"/>
      <c r="G34" s="2"/>
      <c r="H34" s="2"/>
      <c r="I34" s="2"/>
      <c r="J34" s="2"/>
      <c r="K34" s="2"/>
      <c r="L34" s="2"/>
      <c r="M34" s="2"/>
      <c r="N34" s="2"/>
      <c r="O34" s="3"/>
    </row>
    <row r="35" spans="2:15" ht="12.75" customHeight="1" thickBot="1">
      <c r="B35" s="4"/>
      <c r="C35" s="24" t="str">
        <f>IF(M3="English",Slovnik!D18,Slovnik!C18)</f>
        <v>Seznam tabulek finanční analýzy</v>
      </c>
      <c r="D35" s="25"/>
      <c r="E35" s="25"/>
      <c r="F35" s="25"/>
      <c r="G35" s="25"/>
      <c r="H35" s="25"/>
      <c r="I35" s="25"/>
      <c r="J35" s="25"/>
      <c r="K35" s="25"/>
      <c r="L35" s="25"/>
      <c r="M35" s="25"/>
      <c r="N35" s="25"/>
      <c r="O35" s="5"/>
    </row>
    <row r="36" spans="2:15" ht="34.5" customHeight="1" thickBot="1" thickTop="1">
      <c r="B36" s="4"/>
      <c r="C36" s="10"/>
      <c r="D36" s="10"/>
      <c r="E36" s="10"/>
      <c r="F36" s="10"/>
      <c r="G36" s="10"/>
      <c r="H36" s="10"/>
      <c r="I36" s="10"/>
      <c r="J36" s="10"/>
      <c r="K36" s="10"/>
      <c r="L36" s="10"/>
      <c r="M36" s="10"/>
      <c r="N36" s="10"/>
      <c r="O36" s="5"/>
    </row>
    <row r="37" spans="2:15" ht="41.25" customHeight="1" thickBot="1">
      <c r="B37" s="4"/>
      <c r="C37" s="1242" t="str">
        <f>IF(M3="English",Slovnik!D22,Slovnik!C22)</f>
        <v>List / tabulka</v>
      </c>
      <c r="D37" s="1242"/>
      <c r="E37" s="20" t="str">
        <f>IF($M$3="English",Slovnik!$D$27,Slovnik!$C$27)</f>
        <v>Celkové investiční náklady</v>
      </c>
      <c r="F37" s="20" t="str">
        <f>IF($M$3="English",Slovnik!$D$28,Slovnik!$C$28)</f>
        <v>Zůstatková hodnota</v>
      </c>
      <c r="G37" s="20" t="str">
        <f>IF($M$3="English",Slovnik!$D$29,Slovnik!$C$29)</f>
        <v>Náklady údržby infrastruktury</v>
      </c>
      <c r="H37" s="20" t="str">
        <f>IF($M$3="English",Slovnik!D30,Slovnik!C30)</f>
        <v>Příjmy</v>
      </c>
      <c r="I37" s="20" t="str">
        <f>IF($M$3="English",Slovnik!D37,Slovnik!C37)</f>
        <v>Finanční analýza</v>
      </c>
      <c r="J37" s="21" t="str">
        <f>IF($M$3="English",Slovnik!D38,Slovnik!C38)</f>
        <v>Finanční Udržitelnost</v>
      </c>
      <c r="K37" s="27" t="str">
        <f>IF($M$3="English",Slovnik!D39,Slovnik!C39)</f>
        <v>Rezerva</v>
      </c>
      <c r="L37" s="17"/>
      <c r="M37" s="17"/>
      <c r="N37" s="16"/>
      <c r="O37" s="5"/>
    </row>
    <row r="38" spans="2:15" ht="15" customHeight="1" thickBot="1">
      <c r="B38" s="4"/>
      <c r="C38" s="1243" t="str">
        <f>IF(M3="English",Slovnik!D20,Slovnik!C20)</f>
        <v>V konstantních cenách</v>
      </c>
      <c r="D38" s="1243"/>
      <c r="E38" s="356" t="s">
        <v>9</v>
      </c>
      <c r="F38" s="356" t="s">
        <v>299</v>
      </c>
      <c r="G38" s="356" t="s">
        <v>29</v>
      </c>
      <c r="H38" s="356" t="s">
        <v>31</v>
      </c>
      <c r="I38" s="356" t="s">
        <v>606</v>
      </c>
      <c r="J38" s="1190">
        <v>41285</v>
      </c>
      <c r="K38" s="357"/>
      <c r="L38" s="19"/>
      <c r="M38" s="19"/>
      <c r="N38" s="18"/>
      <c r="O38" s="5"/>
    </row>
    <row r="39" spans="2:15" ht="15" customHeight="1" thickBot="1">
      <c r="B39" s="4"/>
      <c r="C39" s="1244" t="str">
        <f>IF(M3="English",Slovnik!D21,Slovnik!C21)</f>
        <v>V běžných cenách **</v>
      </c>
      <c r="D39" s="1244"/>
      <c r="E39" s="281" t="s">
        <v>10</v>
      </c>
      <c r="F39" s="357"/>
      <c r="G39" s="357"/>
      <c r="H39" s="358"/>
      <c r="I39" s="358"/>
      <c r="J39" s="359"/>
      <c r="K39" s="359"/>
      <c r="L39" s="15"/>
      <c r="M39" s="15"/>
      <c r="N39" s="15"/>
      <c r="O39" s="5"/>
    </row>
    <row r="40" spans="2:15" ht="12.75" customHeight="1">
      <c r="B40" s="4"/>
      <c r="C40" s="15"/>
      <c r="D40" s="15"/>
      <c r="E40" s="15"/>
      <c r="F40" s="15"/>
      <c r="G40" s="15"/>
      <c r="H40" s="15"/>
      <c r="I40" s="15"/>
      <c r="J40" s="15"/>
      <c r="K40" s="15"/>
      <c r="L40" s="15"/>
      <c r="M40" s="15"/>
      <c r="N40" s="15"/>
      <c r="O40" s="5"/>
    </row>
    <row r="41" spans="2:15" ht="12.75" customHeight="1">
      <c r="B41" s="4"/>
      <c r="C41" s="10"/>
      <c r="D41" s="10"/>
      <c r="E41" s="10"/>
      <c r="F41" s="10"/>
      <c r="G41" s="10"/>
      <c r="H41" s="10"/>
      <c r="I41" s="10"/>
      <c r="J41" s="10"/>
      <c r="K41" s="10"/>
      <c r="L41" s="10"/>
      <c r="M41" s="10"/>
      <c r="N41" s="10"/>
      <c r="O41" s="5"/>
    </row>
    <row r="42" spans="2:15" ht="12.75" customHeight="1" thickBot="1">
      <c r="B42" s="4"/>
      <c r="C42" s="24" t="str">
        <f>IF(M3="English",Slovnik!D19,Slovnik!C19)</f>
        <v>Seznam tabulek ekonomcické analýzy</v>
      </c>
      <c r="D42" s="25"/>
      <c r="E42" s="25"/>
      <c r="F42" s="25"/>
      <c r="G42" s="25"/>
      <c r="H42" s="25"/>
      <c r="I42" s="25"/>
      <c r="J42" s="25"/>
      <c r="K42" s="25"/>
      <c r="L42" s="25"/>
      <c r="M42" s="25"/>
      <c r="N42" s="25"/>
      <c r="O42" s="5"/>
    </row>
    <row r="43" spans="2:15" ht="33" customHeight="1" thickBot="1" thickTop="1">
      <c r="B43" s="4"/>
      <c r="C43" s="10"/>
      <c r="D43" s="10"/>
      <c r="E43" s="10"/>
      <c r="F43" s="10"/>
      <c r="G43" s="10"/>
      <c r="H43" s="10"/>
      <c r="I43" s="10"/>
      <c r="J43" s="10"/>
      <c r="K43" s="10"/>
      <c r="L43" s="10"/>
      <c r="M43" s="10"/>
      <c r="N43" s="10"/>
      <c r="O43" s="5"/>
    </row>
    <row r="44" spans="2:15" ht="41.25" customHeight="1" thickBot="1">
      <c r="B44" s="4"/>
      <c r="C44" s="1242" t="str">
        <f>IF(M3="English",Slovnik!D22,Slovnik!C22)</f>
        <v>List / tabulka</v>
      </c>
      <c r="D44" s="1242"/>
      <c r="E44" s="20" t="str">
        <f>IF($M$3="English",Slovnik!$D$27,Slovnik!$C$27)</f>
        <v>Celkové investiční náklady</v>
      </c>
      <c r="F44" s="20" t="str">
        <f>IF($M$3="English",Slovnik!$D$28,Slovnik!$C$28)</f>
        <v>Zůstatková hodnota</v>
      </c>
      <c r="G44" s="20" t="str">
        <f>IF($M$3="English",Slovnik!$D$29,Slovnik!$C$29)</f>
        <v>Náklady údržby infrastruktury</v>
      </c>
      <c r="H44" s="21" t="str">
        <f>IF($M$3="English",Slovnik!D31,Slovnik!C31)</f>
        <v>Úspory ostatní infrastruktury*</v>
      </c>
      <c r="I44" s="20" t="str">
        <f>IF($M$3="English",Slovnik!D32,Slovnik!C32)</f>
        <v>Úspory nákladů dopravců</v>
      </c>
      <c r="J44" s="20" t="str">
        <f>IF($M$3="English",Slovnik!D33,Slovnik!C33)</f>
        <v>Externality</v>
      </c>
      <c r="K44" s="20" t="str">
        <f>IF($M$3="English",Slovnik!D34,Slovnik!C34)</f>
        <v>Osobní a rekreační plavba</v>
      </c>
      <c r="L44" s="20" t="str">
        <f>IF($M$3="English",Slovnik!D35,Slovnik!C35)</f>
        <v> Ostatní příjmy/náklady</v>
      </c>
      <c r="M44" s="20" t="str">
        <f>IF($M$3="English",Slovnik!D36,Slovnik!C36)</f>
        <v>Ekonomická analýza</v>
      </c>
      <c r="N44" s="27" t="str">
        <f>IF($M$3="English",Slovnik!D39,Slovnik!C39)</f>
        <v>Rezerva</v>
      </c>
      <c r="O44" s="5"/>
    </row>
    <row r="45" spans="2:15" ht="15" customHeight="1" thickBot="1">
      <c r="B45" s="4"/>
      <c r="C45" s="1249" t="str">
        <f>IF(M3="English",Slovnik!D20,Slovnik!C20)</f>
        <v>V konstantních cenách</v>
      </c>
      <c r="D45" s="1249"/>
      <c r="E45" s="22" t="s">
        <v>9</v>
      </c>
      <c r="F45" s="22" t="s">
        <v>285</v>
      </c>
      <c r="G45" s="22" t="s">
        <v>29</v>
      </c>
      <c r="H45" s="23" t="s">
        <v>297</v>
      </c>
      <c r="I45" s="282" t="s">
        <v>35</v>
      </c>
      <c r="J45" s="282" t="s">
        <v>37</v>
      </c>
      <c r="K45" s="282" t="s">
        <v>298</v>
      </c>
      <c r="L45" s="1059" t="s">
        <v>39</v>
      </c>
      <c r="M45" s="282" t="s">
        <v>607</v>
      </c>
      <c r="N45" s="357"/>
      <c r="O45" s="5"/>
    </row>
    <row r="46" spans="2:15" ht="12.75" customHeight="1">
      <c r="B46" s="4"/>
      <c r="C46" s="15"/>
      <c r="D46" s="15"/>
      <c r="E46" s="15"/>
      <c r="F46" s="15"/>
      <c r="G46" s="15"/>
      <c r="H46" s="15"/>
      <c r="I46" s="15"/>
      <c r="J46" s="15"/>
      <c r="K46" s="15"/>
      <c r="L46" s="15"/>
      <c r="M46" s="15"/>
      <c r="N46" s="15"/>
      <c r="O46" s="5"/>
    </row>
    <row r="47" spans="2:15" ht="12.75" customHeight="1">
      <c r="B47" s="4"/>
      <c r="C47" s="1245" t="str">
        <f>IF(M3="English",Slovnik!D44,Slovnik!C44)</f>
        <v>* ostatní infrastrukturouje myšlena železniční a silniční infastruktura</v>
      </c>
      <c r="D47" s="1245"/>
      <c r="E47" s="1245"/>
      <c r="F47" s="1245"/>
      <c r="G47" s="1245"/>
      <c r="H47" s="1245"/>
      <c r="I47" s="1245"/>
      <c r="J47" s="1245"/>
      <c r="K47" s="1245"/>
      <c r="L47" s="1245"/>
      <c r="M47" s="1245"/>
      <c r="N47" s="1245"/>
      <c r="O47" s="5"/>
    </row>
    <row r="48" spans="2:15" ht="12.75" customHeight="1">
      <c r="B48" s="4"/>
      <c r="C48" s="1245" t="str">
        <f>IF(M3="English",Slovnik!D45,Slovnik!C45)</f>
        <v>** tabulky pro projektovou žádost</v>
      </c>
      <c r="D48" s="1245"/>
      <c r="E48" s="1245"/>
      <c r="F48" s="1245"/>
      <c r="G48" s="1245"/>
      <c r="H48" s="1245"/>
      <c r="I48" s="1245"/>
      <c r="J48" s="1245"/>
      <c r="K48" s="1245"/>
      <c r="L48" s="1245"/>
      <c r="M48" s="1245"/>
      <c r="N48" s="1245"/>
      <c r="O48" s="5"/>
    </row>
    <row r="49" spans="2:15" ht="12.75" customHeight="1" thickBot="1">
      <c r="B49" s="7"/>
      <c r="C49" s="8"/>
      <c r="D49" s="8"/>
      <c r="E49" s="8"/>
      <c r="F49" s="8"/>
      <c r="G49" s="8"/>
      <c r="H49" s="8"/>
      <c r="I49" s="8"/>
      <c r="J49" s="8"/>
      <c r="K49" s="8"/>
      <c r="L49" s="8"/>
      <c r="M49" s="8"/>
      <c r="N49" s="8"/>
      <c r="O49" s="9"/>
    </row>
    <row r="50" s="38" customFormat="1" ht="12.75" customHeight="1" thickBot="1"/>
    <row r="51" spans="2:15" ht="12.75">
      <c r="B51" s="1"/>
      <c r="C51" s="2"/>
      <c r="D51" s="2"/>
      <c r="E51" s="2"/>
      <c r="F51" s="2"/>
      <c r="G51" s="2"/>
      <c r="H51" s="2"/>
      <c r="I51" s="2"/>
      <c r="J51" s="2"/>
      <c r="K51" s="2"/>
      <c r="L51" s="2"/>
      <c r="M51" s="2"/>
      <c r="N51" s="2"/>
      <c r="O51" s="3"/>
    </row>
    <row r="52" spans="2:15" ht="16.5" thickBot="1">
      <c r="B52" s="4"/>
      <c r="C52" s="24" t="str">
        <f>IF($M$3="English",Slovnik!D23,Slovnik!C23)</f>
        <v>Index cen stavebních prací</v>
      </c>
      <c r="D52" s="25"/>
      <c r="E52" s="25"/>
      <c r="F52" s="25"/>
      <c r="G52" s="25"/>
      <c r="H52" s="25"/>
      <c r="I52" s="25"/>
      <c r="J52" s="25"/>
      <c r="K52" s="25"/>
      <c r="L52" s="25"/>
      <c r="M52" s="25"/>
      <c r="N52" s="25"/>
      <c r="O52" s="5"/>
    </row>
    <row r="53" spans="2:15" ht="14.25" thickBot="1" thickTop="1">
      <c r="B53" s="4"/>
      <c r="C53" s="10"/>
      <c r="D53" s="10"/>
      <c r="E53" s="10"/>
      <c r="F53" s="10"/>
      <c r="G53" s="10"/>
      <c r="H53" s="10"/>
      <c r="I53" s="10"/>
      <c r="J53" s="10"/>
      <c r="K53" s="10"/>
      <c r="L53" s="10"/>
      <c r="M53" s="10"/>
      <c r="N53" s="10"/>
      <c r="O53" s="5"/>
    </row>
    <row r="54" spans="2:15" ht="14.25" customHeight="1" thickBot="1">
      <c r="B54" s="4"/>
      <c r="C54" s="20" t="str">
        <f>IF(M3="English",Slovnik!D40,Slovnik!C40)</f>
        <v>rok</v>
      </c>
      <c r="D54" s="20">
        <v>2005</v>
      </c>
      <c r="E54" s="20">
        <v>2006</v>
      </c>
      <c r="F54" s="20">
        <v>2007</v>
      </c>
      <c r="G54" s="20">
        <v>2008</v>
      </c>
      <c r="H54" s="20">
        <v>2009</v>
      </c>
      <c r="I54" s="20">
        <v>2010</v>
      </c>
      <c r="J54" s="20">
        <v>2011</v>
      </c>
      <c r="K54" s="20">
        <v>2012</v>
      </c>
      <c r="L54" s="20">
        <v>2013</v>
      </c>
      <c r="M54" s="20">
        <v>2014</v>
      </c>
      <c r="N54" s="20" t="s">
        <v>48</v>
      </c>
      <c r="O54" s="5"/>
    </row>
    <row r="55" spans="2:15" ht="13.5" thickBot="1">
      <c r="B55" s="4"/>
      <c r="C55" s="20" t="str">
        <f>IF(M3="English",Slovnik!D41,Slovnik!C41)</f>
        <v>inflace ***</v>
      </c>
      <c r="D55" s="28">
        <v>0.03</v>
      </c>
      <c r="E55" s="28">
        <v>0.029</v>
      </c>
      <c r="F55" s="28">
        <v>0.041</v>
      </c>
      <c r="G55" s="28">
        <v>0.045</v>
      </c>
      <c r="H55" s="28">
        <v>0.012</v>
      </c>
      <c r="I55" s="28">
        <v>-0.002</v>
      </c>
      <c r="J55" s="28">
        <v>-0.005</v>
      </c>
      <c r="K55" s="28">
        <v>-0.007</v>
      </c>
      <c r="L55" s="1189">
        <v>-0.0058</v>
      </c>
      <c r="M55" s="1189">
        <v>-0.0058</v>
      </c>
      <c r="N55" s="1189">
        <v>0.02</v>
      </c>
      <c r="O55" s="5"/>
    </row>
    <row r="56" spans="2:15" ht="12.75">
      <c r="B56" s="4"/>
      <c r="C56" s="10"/>
      <c r="D56" s="10"/>
      <c r="E56" s="10"/>
      <c r="F56" s="10"/>
      <c r="G56" s="10"/>
      <c r="H56" s="10"/>
      <c r="I56" s="10"/>
      <c r="J56" s="10"/>
      <c r="K56" s="10"/>
      <c r="L56" s="10"/>
      <c r="M56" s="10"/>
      <c r="N56" s="10"/>
      <c r="O56" s="5"/>
    </row>
    <row r="57" spans="2:15" ht="16.5" thickBot="1">
      <c r="B57" s="4"/>
      <c r="C57" s="24" t="str">
        <f>IF($M$3="English",Slovnik!D24,Slovnik!C24)</f>
        <v>Inflace</v>
      </c>
      <c r="D57" s="25"/>
      <c r="E57" s="25"/>
      <c r="F57" s="25"/>
      <c r="G57" s="25"/>
      <c r="H57" s="25"/>
      <c r="I57" s="25"/>
      <c r="J57" s="25"/>
      <c r="K57" s="25"/>
      <c r="L57" s="25"/>
      <c r="M57" s="25"/>
      <c r="N57" s="25"/>
      <c r="O57" s="5"/>
    </row>
    <row r="58" spans="2:15" ht="14.25" thickBot="1" thickTop="1">
      <c r="B58" s="4"/>
      <c r="C58" s="10"/>
      <c r="D58" s="10"/>
      <c r="E58" s="10"/>
      <c r="F58" s="10"/>
      <c r="G58" s="10"/>
      <c r="H58" s="10"/>
      <c r="I58" s="10"/>
      <c r="J58" s="10"/>
      <c r="K58" s="10"/>
      <c r="L58" s="10"/>
      <c r="M58" s="10"/>
      <c r="N58" s="10"/>
      <c r="O58" s="5"/>
    </row>
    <row r="59" spans="2:15" ht="13.5" thickBot="1">
      <c r="B59" s="4"/>
      <c r="C59" s="20" t="str">
        <f>IF(M3="English",Slovnik!D40,Slovnik!C40)</f>
        <v>rok</v>
      </c>
      <c r="D59" s="20">
        <v>2005</v>
      </c>
      <c r="E59" s="20">
        <v>2006</v>
      </c>
      <c r="F59" s="20">
        <v>2007</v>
      </c>
      <c r="G59" s="20">
        <v>2008</v>
      </c>
      <c r="H59" s="20">
        <v>2009</v>
      </c>
      <c r="I59" s="20">
        <v>2010</v>
      </c>
      <c r="J59" s="20">
        <v>2011</v>
      </c>
      <c r="K59" s="20">
        <v>2012</v>
      </c>
      <c r="L59" s="20">
        <v>2013</v>
      </c>
      <c r="M59" s="20">
        <v>2014</v>
      </c>
      <c r="N59" s="20" t="s">
        <v>48</v>
      </c>
      <c r="O59" s="5"/>
    </row>
    <row r="60" spans="2:15" ht="13.5" thickBot="1">
      <c r="B60" s="4"/>
      <c r="C60" s="20" t="str">
        <f>IF(M3="English",Slovnik!D41,Slovnik!C41)</f>
        <v>inflace ***</v>
      </c>
      <c r="D60" s="28">
        <v>0.019</v>
      </c>
      <c r="E60" s="28">
        <v>0.025</v>
      </c>
      <c r="F60" s="28">
        <v>0.028</v>
      </c>
      <c r="G60" s="28">
        <v>0.063</v>
      </c>
      <c r="H60" s="28">
        <v>0.01</v>
      </c>
      <c r="I60" s="28">
        <v>0.015</v>
      </c>
      <c r="J60" s="28">
        <v>0.019</v>
      </c>
      <c r="K60" s="28">
        <v>0.033</v>
      </c>
      <c r="L60" s="1189">
        <v>0.02</v>
      </c>
      <c r="M60" s="1189">
        <v>0.02</v>
      </c>
      <c r="N60" s="1189">
        <v>0.02</v>
      </c>
      <c r="O60" s="5"/>
    </row>
    <row r="61" spans="2:15" ht="12.75">
      <c r="B61" s="4"/>
      <c r="C61" s="16"/>
      <c r="D61" s="838"/>
      <c r="E61" s="838"/>
      <c r="F61" s="838"/>
      <c r="G61" s="838"/>
      <c r="H61" s="838"/>
      <c r="I61" s="838"/>
      <c r="J61" s="838"/>
      <c r="K61" s="838"/>
      <c r="L61" s="838"/>
      <c r="M61" s="838"/>
      <c r="N61" s="838"/>
      <c r="O61" s="5"/>
    </row>
    <row r="62" spans="2:15" ht="12.75">
      <c r="B62" s="4"/>
      <c r="C62" s="1245" t="str">
        <f>IF(M3="English",Slovnik!D46,Slovnik!C46)</f>
        <v>*** zdroj: dopis SFDI, č.j. 1215/SFDI/2279/3624/2012, 28.5.2012, ČNB 2013</v>
      </c>
      <c r="D62" s="1245"/>
      <c r="E62" s="1245"/>
      <c r="F62" s="1245"/>
      <c r="G62" s="1245"/>
      <c r="H62" s="1245"/>
      <c r="I62" s="1245"/>
      <c r="J62" s="1245"/>
      <c r="K62" s="1245"/>
      <c r="L62" s="1245"/>
      <c r="M62" s="1245"/>
      <c r="N62" s="1245"/>
      <c r="O62" s="5"/>
    </row>
    <row r="63" spans="2:15" ht="13.5" thickBot="1">
      <c r="B63" s="7"/>
      <c r="C63" s="8"/>
      <c r="D63" s="8"/>
      <c r="E63" s="8"/>
      <c r="F63" s="8"/>
      <c r="G63" s="8"/>
      <c r="H63" s="8"/>
      <c r="I63" s="8"/>
      <c r="J63" s="8"/>
      <c r="K63" s="8"/>
      <c r="L63" s="8"/>
      <c r="M63" s="8"/>
      <c r="N63" s="8"/>
      <c r="O63" s="9"/>
    </row>
    <row r="64" spans="2:15" s="38" customFormat="1" ht="13.5" thickBot="1">
      <c r="B64" s="41"/>
      <c r="C64" s="41"/>
      <c r="D64" s="41"/>
      <c r="E64" s="41"/>
      <c r="F64" s="41"/>
      <c r="G64" s="41"/>
      <c r="H64" s="41"/>
      <c r="I64" s="41"/>
      <c r="J64" s="41"/>
      <c r="K64" s="41"/>
      <c r="L64" s="41"/>
      <c r="M64" s="41"/>
      <c r="N64" s="41"/>
      <c r="O64" s="41"/>
    </row>
    <row r="65" spans="2:15" ht="12.75">
      <c r="B65" s="1"/>
      <c r="C65" s="2"/>
      <c r="D65" s="2"/>
      <c r="E65" s="2"/>
      <c r="F65" s="2"/>
      <c r="G65" s="2"/>
      <c r="H65" s="2"/>
      <c r="I65" s="2"/>
      <c r="J65" s="2"/>
      <c r="K65" s="2"/>
      <c r="L65" s="2"/>
      <c r="M65" s="2"/>
      <c r="N65" s="2"/>
      <c r="O65" s="3"/>
    </row>
    <row r="66" spans="2:15" ht="16.5" thickBot="1">
      <c r="B66" s="4"/>
      <c r="C66" s="24" t="str">
        <f>IF($M$3="English",Slovnik!D25,Slovnik!C25)</f>
        <v>Realný růst HDP</v>
      </c>
      <c r="D66" s="25"/>
      <c r="E66" s="25"/>
      <c r="F66" s="25"/>
      <c r="G66" s="25"/>
      <c r="H66" s="25"/>
      <c r="I66" s="25"/>
      <c r="J66" s="25"/>
      <c r="K66" s="25"/>
      <c r="L66" s="25"/>
      <c r="M66" s="25"/>
      <c r="N66" s="25"/>
      <c r="O66" s="5"/>
    </row>
    <row r="67" spans="2:15" ht="14.25" thickBot="1" thickTop="1">
      <c r="B67" s="4"/>
      <c r="C67" s="10"/>
      <c r="D67" s="10"/>
      <c r="E67" s="10"/>
      <c r="F67" s="10"/>
      <c r="G67" s="10"/>
      <c r="H67" s="10"/>
      <c r="I67" s="10"/>
      <c r="J67" s="10"/>
      <c r="K67" s="10"/>
      <c r="L67" s="10"/>
      <c r="M67" s="10"/>
      <c r="N67" s="10"/>
      <c r="O67" s="5"/>
    </row>
    <row r="68" spans="1:15" ht="13.5" thickBot="1">
      <c r="A68" s="38" t="s">
        <v>1</v>
      </c>
      <c r="B68" s="4"/>
      <c r="C68" s="20" t="str">
        <f>IF(M3="English",Slovnik!D40,Slovnik!C40)</f>
        <v>rok</v>
      </c>
      <c r="D68" s="20">
        <v>2005</v>
      </c>
      <c r="E68" s="20">
        <v>2006</v>
      </c>
      <c r="F68" s="20">
        <v>2007</v>
      </c>
      <c r="G68" s="20">
        <v>2008</v>
      </c>
      <c r="H68" s="20">
        <v>2009</v>
      </c>
      <c r="I68" s="20">
        <v>2010</v>
      </c>
      <c r="J68" s="20">
        <v>2011</v>
      </c>
      <c r="K68" s="20">
        <v>2012</v>
      </c>
      <c r="L68" s="27"/>
      <c r="M68" s="27"/>
      <c r="N68" s="27"/>
      <c r="O68" s="5"/>
    </row>
    <row r="69" spans="2:15" ht="13.5" thickBot="1">
      <c r="B69" s="4"/>
      <c r="C69" s="20" t="str">
        <f>IF(M3="English",Slovnik!D42,Slovnik!C42)</f>
        <v>realné HDP *4</v>
      </c>
      <c r="D69" s="28">
        <v>0.068</v>
      </c>
      <c r="E69" s="28">
        <v>0.07</v>
      </c>
      <c r="F69" s="28">
        <v>0.057</v>
      </c>
      <c r="G69" s="28">
        <v>0.031</v>
      </c>
      <c r="H69" s="28">
        <v>-0.045</v>
      </c>
      <c r="I69" s="28">
        <v>0.025</v>
      </c>
      <c r="J69" s="28">
        <v>0.018</v>
      </c>
      <c r="K69" s="28">
        <v>-0.01</v>
      </c>
      <c r="L69" s="28"/>
      <c r="M69" s="28"/>
      <c r="N69" s="28"/>
      <c r="O69" s="5"/>
    </row>
    <row r="70" spans="2:15" ht="12.75">
      <c r="B70" s="4"/>
      <c r="C70" s="10"/>
      <c r="D70" s="10"/>
      <c r="E70" s="10"/>
      <c r="F70" s="10"/>
      <c r="G70" s="10"/>
      <c r="H70" s="10"/>
      <c r="I70" s="10"/>
      <c r="J70" s="10"/>
      <c r="K70" s="10"/>
      <c r="L70" s="10"/>
      <c r="M70" s="10"/>
      <c r="N70" s="10"/>
      <c r="O70" s="5"/>
    </row>
    <row r="71" spans="2:15" ht="13.5" thickBot="1">
      <c r="B71" s="4"/>
      <c r="C71" s="1245" t="str">
        <f>IF(M3="English",Slovnik!D47,Slovnik!C47)</f>
        <v>*4 zdroj: ČSÚ 2012</v>
      </c>
      <c r="D71" s="1245"/>
      <c r="E71" s="1245"/>
      <c r="F71" s="1245"/>
      <c r="G71" s="1245"/>
      <c r="H71" s="1245"/>
      <c r="I71" s="1245"/>
      <c r="J71" s="1245"/>
      <c r="K71" s="1245"/>
      <c r="L71" s="1245"/>
      <c r="M71" s="1245"/>
      <c r="N71" s="1245"/>
      <c r="O71" s="5"/>
    </row>
    <row r="72" spans="2:15" ht="13.5" thickBot="1">
      <c r="B72" s="4"/>
      <c r="C72" s="20" t="str">
        <f>IF(M3="English",Slovnik!D40,Slovnik!C40)</f>
        <v>rok</v>
      </c>
      <c r="D72" s="20">
        <v>2013</v>
      </c>
      <c r="E72" s="20">
        <v>2014</v>
      </c>
      <c r="F72" s="20">
        <v>2015</v>
      </c>
      <c r="G72" s="20">
        <v>2016</v>
      </c>
      <c r="H72" s="20">
        <v>2017</v>
      </c>
      <c r="I72" s="20">
        <v>2018</v>
      </c>
      <c r="J72" s="20">
        <v>2019</v>
      </c>
      <c r="K72" s="20">
        <v>2020</v>
      </c>
      <c r="L72" s="20" t="s">
        <v>108</v>
      </c>
      <c r="M72" s="20" t="s">
        <v>115</v>
      </c>
      <c r="N72" s="27"/>
      <c r="O72" s="5"/>
    </row>
    <row r="73" spans="2:15" ht="13.5" thickBot="1">
      <c r="B73" s="4"/>
      <c r="C73" s="20" t="str">
        <f>IF(M3="English",Slovnik!D43,Slovnik!C43)</f>
        <v>predikce HDP *5</v>
      </c>
      <c r="D73" s="1189">
        <v>-0.013</v>
      </c>
      <c r="E73" s="1189">
        <v>0.018</v>
      </c>
      <c r="F73" s="1189">
        <v>0.024</v>
      </c>
      <c r="G73" s="1189">
        <v>0.027</v>
      </c>
      <c r="H73" s="1189">
        <v>0.035</v>
      </c>
      <c r="I73" s="1189">
        <v>0.035</v>
      </c>
      <c r="J73" s="1189">
        <v>0.035</v>
      </c>
      <c r="K73" s="1189">
        <v>0.03</v>
      </c>
      <c r="L73" s="1189">
        <v>0.025</v>
      </c>
      <c r="M73" s="1189">
        <v>0.01</v>
      </c>
      <c r="N73" s="28"/>
      <c r="O73" s="5"/>
    </row>
    <row r="74" spans="2:15" ht="12.75">
      <c r="B74" s="4"/>
      <c r="C74" s="10"/>
      <c r="D74" s="10"/>
      <c r="E74" s="10"/>
      <c r="F74" s="10"/>
      <c r="G74" s="10"/>
      <c r="H74" s="10"/>
      <c r="I74" s="10"/>
      <c r="J74" s="10"/>
      <c r="K74" s="10"/>
      <c r="L74" s="10"/>
      <c r="M74" s="10"/>
      <c r="N74" s="10"/>
      <c r="O74" s="5"/>
    </row>
    <row r="75" spans="2:15" ht="12.75">
      <c r="B75" s="4"/>
      <c r="C75" s="1245" t="str">
        <f>IF(M3="English",Slovnik!D48,Slovnik!C48)</f>
        <v>*5 zdroj: MFČR 2013</v>
      </c>
      <c r="D75" s="1245"/>
      <c r="E75" s="1245"/>
      <c r="F75" s="1245"/>
      <c r="G75" s="1245"/>
      <c r="H75" s="1245"/>
      <c r="I75" s="1245"/>
      <c r="J75" s="1245"/>
      <c r="K75" s="1245"/>
      <c r="L75" s="1245"/>
      <c r="M75" s="1245"/>
      <c r="N75" s="1245"/>
      <c r="O75" s="5"/>
    </row>
    <row r="76" spans="2:15" ht="13.5" thickBot="1">
      <c r="B76" s="7"/>
      <c r="C76" s="8"/>
      <c r="D76" s="8"/>
      <c r="E76" s="8"/>
      <c r="F76" s="8"/>
      <c r="G76" s="8"/>
      <c r="H76" s="8"/>
      <c r="I76" s="8"/>
      <c r="J76" s="8"/>
      <c r="K76" s="8"/>
      <c r="L76" s="8"/>
      <c r="M76" s="8"/>
      <c r="N76" s="8"/>
      <c r="O76" s="9"/>
    </row>
    <row r="77" spans="2:15" s="38" customFormat="1" ht="13.5" thickBot="1">
      <c r="B77" s="41"/>
      <c r="C77" s="41"/>
      <c r="D77" s="41"/>
      <c r="E77" s="41"/>
      <c r="F77" s="41"/>
      <c r="G77" s="41"/>
      <c r="H77" s="41"/>
      <c r="I77" s="41"/>
      <c r="J77" s="41"/>
      <c r="K77" s="41"/>
      <c r="L77" s="41"/>
      <c r="M77" s="41"/>
      <c r="N77" s="41"/>
      <c r="O77" s="41"/>
    </row>
    <row r="78" spans="2:15" ht="12.75">
      <c r="B78" s="29"/>
      <c r="C78" s="30"/>
      <c r="D78" s="30"/>
      <c r="E78" s="30"/>
      <c r="F78" s="30"/>
      <c r="G78" s="31"/>
      <c r="H78" s="31"/>
      <c r="I78" s="31"/>
      <c r="J78" s="31"/>
      <c r="K78" s="30"/>
      <c r="L78" s="31"/>
      <c r="M78" s="30"/>
      <c r="N78" s="30"/>
      <c r="O78" s="32"/>
    </row>
    <row r="79" spans="2:15" ht="12.75">
      <c r="B79" s="33"/>
      <c r="C79" s="1185" t="str">
        <f>IF(M3="English",Slovnik!D26,Slovnik!C26)</f>
        <v>Vyplnit pouze žlutě podbarvené buňky!</v>
      </c>
      <c r="D79" s="10"/>
      <c r="E79" s="10"/>
      <c r="F79" s="10"/>
      <c r="G79" s="10"/>
      <c r="H79" s="10"/>
      <c r="I79" s="10"/>
      <c r="J79" s="10"/>
      <c r="K79" s="10"/>
      <c r="L79" s="10"/>
      <c r="M79" s="10"/>
      <c r="N79" s="10"/>
      <c r="O79" s="34"/>
    </row>
    <row r="80" spans="2:15" ht="13.5" thickBot="1">
      <c r="B80" s="35"/>
      <c r="C80" s="36"/>
      <c r="D80" s="36"/>
      <c r="E80" s="36"/>
      <c r="F80" s="36"/>
      <c r="G80" s="36"/>
      <c r="H80" s="36"/>
      <c r="I80" s="36"/>
      <c r="J80" s="36"/>
      <c r="K80" s="36"/>
      <c r="L80" s="36"/>
      <c r="M80" s="36"/>
      <c r="N80" s="36"/>
      <c r="O80" s="37"/>
    </row>
    <row r="81" s="38" customFormat="1" ht="12.75"/>
    <row r="82" s="38" customFormat="1" ht="12.75"/>
    <row r="83" s="38" customFormat="1" ht="12.75">
      <c r="B83" s="42"/>
    </row>
    <row r="84" s="38" customFormat="1" ht="12.75"/>
    <row r="85" s="38" customFormat="1" ht="12.75">
      <c r="B85" s="43"/>
    </row>
    <row r="86" s="38" customFormat="1" ht="12.75"/>
    <row r="87" s="38" customFormat="1" ht="12.75">
      <c r="B87" s="42"/>
    </row>
    <row r="88" s="38" customFormat="1" ht="12.75">
      <c r="B88" s="43"/>
    </row>
    <row r="89" s="38" customFormat="1" ht="12.75">
      <c r="B89" s="43"/>
    </row>
    <row r="90" s="38" customFormat="1" ht="12.75"/>
    <row r="91" s="38" customFormat="1" ht="12.75"/>
    <row r="92" s="38" customFormat="1" ht="12.75"/>
    <row r="93" s="38" customFormat="1" ht="12.75"/>
    <row r="94" s="38" customFormat="1" ht="12.75"/>
    <row r="95" s="38" customFormat="1" ht="12.75"/>
    <row r="96" s="38" customFormat="1" ht="12.75"/>
    <row r="97" s="38" customFormat="1" ht="12.75"/>
    <row r="98" s="38" customFormat="1" ht="12.75"/>
    <row r="99" s="38" customFormat="1" ht="12.75"/>
    <row r="100" s="38" customFormat="1" ht="12.75"/>
    <row r="101" s="38" customFormat="1" ht="12.75"/>
    <row r="102" s="38" customFormat="1" ht="12.75"/>
    <row r="103" s="38" customFormat="1" ht="12.75"/>
    <row r="104" s="38" customFormat="1" ht="12.75"/>
    <row r="105" s="38" customFormat="1" ht="12.75"/>
    <row r="106" s="38" customFormat="1" ht="12.75"/>
    <row r="107" s="38" customFormat="1" ht="12.75"/>
    <row r="108" s="38" customFormat="1" ht="12.75"/>
    <row r="109" s="38" customFormat="1" ht="12.75"/>
    <row r="110" s="38" customFormat="1" ht="12.75"/>
    <row r="111" s="38" customFormat="1" ht="12.75"/>
    <row r="112" s="38" customFormat="1" ht="12.75"/>
    <row r="113" s="38" customFormat="1" ht="12.75"/>
    <row r="114" s="38" customFormat="1" ht="12.75"/>
    <row r="115" s="38" customFormat="1" ht="12.75"/>
    <row r="116" s="38" customFormat="1" ht="12.75"/>
    <row r="117" s="38" customFormat="1" ht="12.75"/>
    <row r="118" s="38" customFormat="1" ht="12.75"/>
    <row r="119" s="38" customFormat="1" ht="12.75"/>
    <row r="120" s="38" customFormat="1" ht="12.75"/>
    <row r="121" s="38" customFormat="1" ht="12.75"/>
    <row r="122" s="38" customFormat="1" ht="12.75"/>
    <row r="123" s="38" customFormat="1" ht="12.75"/>
    <row r="124" s="38" customFormat="1" ht="12.75"/>
    <row r="125" s="38" customFormat="1" ht="12.75"/>
    <row r="126" s="38" customFormat="1" ht="12.75"/>
    <row r="127" s="38" customFormat="1" ht="12.75"/>
    <row r="128" s="38" customFormat="1" ht="12.75"/>
    <row r="129" s="38" customFormat="1" ht="12.75"/>
    <row r="130" s="38" customFormat="1" ht="12.75"/>
    <row r="131" s="38" customFormat="1" ht="12.75"/>
    <row r="132" s="38" customFormat="1" ht="12.75"/>
    <row r="133" s="38" customFormat="1" ht="12.75"/>
    <row r="134" s="38" customFormat="1" ht="12.75"/>
    <row r="135" s="38" customFormat="1" ht="12.75"/>
    <row r="136" s="38" customFormat="1" ht="12.75"/>
    <row r="137" s="38" customFormat="1" ht="12.75"/>
    <row r="138" s="38" customFormat="1" ht="12.75"/>
    <row r="139" s="38" customFormat="1" ht="12.75"/>
    <row r="140" s="38" customFormat="1" ht="12.75"/>
    <row r="141" s="38" customFormat="1" ht="12.75"/>
    <row r="142" s="38" customFormat="1" ht="12.75"/>
    <row r="143" s="38" customFormat="1" ht="12.75"/>
    <row r="144" s="38" customFormat="1" ht="12.75"/>
    <row r="145" s="38" customFormat="1" ht="12.75"/>
    <row r="146" s="38" customFormat="1" ht="12.75"/>
    <row r="147" s="38" customFormat="1" ht="12.75"/>
    <row r="148" s="38" customFormat="1" ht="12.75"/>
    <row r="149" s="38" customFormat="1" ht="12.75"/>
    <row r="150" s="38" customFormat="1" ht="12.75"/>
    <row r="151" s="38" customFormat="1" ht="12.75"/>
    <row r="152" s="38" customFormat="1" ht="12.75"/>
    <row r="153" s="38" customFormat="1" ht="12.75"/>
    <row r="154" s="38" customFormat="1" ht="12.75"/>
    <row r="155" s="38" customFormat="1" ht="12.75"/>
    <row r="156" s="38" customFormat="1" ht="12.75"/>
    <row r="157" s="38" customFormat="1" ht="12.75"/>
    <row r="158" s="38" customFormat="1" ht="12.75"/>
    <row r="159" s="38" customFormat="1" ht="12.75"/>
    <row r="160" s="38" customFormat="1" ht="12.75"/>
    <row r="161" s="38" customFormat="1" ht="12.75"/>
    <row r="162" s="38" customFormat="1" ht="12.75"/>
    <row r="163" s="38" customFormat="1" ht="12.75"/>
    <row r="164" s="38" customFormat="1" ht="12.75"/>
    <row r="165" s="38" customFormat="1" ht="12.75"/>
    <row r="166" s="38" customFormat="1" ht="12.75"/>
    <row r="167" s="38" customFormat="1" ht="12.75"/>
    <row r="168" s="38" customFormat="1" ht="12.75"/>
    <row r="169" s="38" customFormat="1" ht="12.75"/>
    <row r="170" s="38" customFormat="1" ht="12.75"/>
    <row r="171" s="38" customFormat="1" ht="12.75"/>
    <row r="172" s="38" customFormat="1" ht="12.75"/>
    <row r="173" s="38" customFormat="1" ht="12.75"/>
    <row r="174" s="38" customFormat="1" ht="12.75"/>
    <row r="175" s="38" customFormat="1" ht="12.75"/>
    <row r="176" s="38" customFormat="1" ht="12.75"/>
    <row r="177" s="38" customFormat="1" ht="12.75"/>
    <row r="178" s="38" customFormat="1" ht="12.75"/>
    <row r="179" s="38" customFormat="1" ht="12.75"/>
    <row r="180" s="38" customFormat="1" ht="12.75"/>
    <row r="181" s="38" customFormat="1" ht="12.75"/>
    <row r="182" s="38" customFormat="1" ht="12.75"/>
    <row r="183" s="38" customFormat="1" ht="12.75"/>
    <row r="184" s="38" customFormat="1" ht="12.75"/>
    <row r="185" s="38" customFormat="1" ht="12.75"/>
    <row r="186" s="38" customFormat="1" ht="12.75"/>
    <row r="187" s="38" customFormat="1" ht="12.75"/>
    <row r="188" s="38" customFormat="1" ht="12.75"/>
    <row r="189" s="38" customFormat="1" ht="12.75"/>
    <row r="190" s="38" customFormat="1" ht="12.75"/>
    <row r="191" s="38" customFormat="1" ht="12.75"/>
    <row r="192" s="38" customFormat="1" ht="12.75"/>
    <row r="193" s="38" customFormat="1" ht="12.75"/>
    <row r="194" s="38" customFormat="1" ht="12.75"/>
    <row r="195" s="38" customFormat="1" ht="12.75"/>
    <row r="196" s="38" customFormat="1" ht="12.75"/>
    <row r="197" s="38" customFormat="1" ht="12.75"/>
    <row r="198" s="38" customFormat="1" ht="12.75"/>
    <row r="199" s="38" customFormat="1" ht="12.75"/>
    <row r="200" s="38" customFormat="1" ht="12.75"/>
    <row r="201" s="38" customFormat="1" ht="12.75"/>
    <row r="202" s="38" customFormat="1" ht="12.75"/>
    <row r="203" s="38" customFormat="1" ht="12.75"/>
    <row r="204" s="38" customFormat="1" ht="12.75"/>
    <row r="205" s="38" customFormat="1" ht="12.75"/>
    <row r="206" s="38" customFormat="1" ht="12.75"/>
    <row r="207" s="38" customFormat="1" ht="12.75"/>
    <row r="208" s="38" customFormat="1" ht="12.75"/>
    <row r="209" s="38" customFormat="1" ht="12.75"/>
    <row r="210" s="38" customFormat="1" ht="12.75"/>
    <row r="211" s="38" customFormat="1" ht="12.75"/>
    <row r="212" s="38" customFormat="1" ht="12.75"/>
    <row r="213" s="38" customFormat="1" ht="12.75"/>
    <row r="214" s="38" customFormat="1" ht="12.75"/>
    <row r="215" s="38" customFormat="1" ht="12.75"/>
    <row r="216" s="38" customFormat="1" ht="12.75"/>
    <row r="217" s="38" customFormat="1" ht="12.75"/>
    <row r="218" s="38" customFormat="1" ht="12.75"/>
    <row r="219" s="38" customFormat="1" ht="12.75"/>
    <row r="220" s="38" customFormat="1" ht="12.75"/>
    <row r="221" s="38" customFormat="1" ht="12.75"/>
    <row r="222" s="38" customFormat="1" ht="12.75"/>
    <row r="223" s="38" customFormat="1" ht="12.75"/>
    <row r="224" s="38" customFormat="1" ht="12.75"/>
    <row r="225" s="38" customFormat="1" ht="12.75"/>
    <row r="226" s="38" customFormat="1" ht="12.75"/>
    <row r="227" s="38" customFormat="1" ht="12.75"/>
    <row r="228" s="38" customFormat="1" ht="12.75"/>
    <row r="229" s="38" customFormat="1" ht="12.75"/>
    <row r="230" s="38" customFormat="1" ht="12.75"/>
    <row r="231" s="38" customFormat="1" ht="12.75"/>
    <row r="232" s="38" customFormat="1" ht="12.75"/>
    <row r="233" s="38" customFormat="1" ht="12.75"/>
    <row r="234" s="38" customFormat="1" ht="12.75"/>
    <row r="235" s="38" customFormat="1" ht="12.75"/>
    <row r="236" s="38" customFormat="1" ht="12.75"/>
    <row r="237" s="38" customFormat="1" ht="12.75"/>
    <row r="238" s="38" customFormat="1" ht="12.75"/>
    <row r="239" s="38" customFormat="1" ht="12.75"/>
    <row r="240" s="38" customFormat="1" ht="12.75"/>
    <row r="241" s="38" customFormat="1" ht="12.75"/>
    <row r="242" s="38" customFormat="1" ht="12.75"/>
    <row r="243" s="38" customFormat="1" ht="12.75"/>
    <row r="244" s="38" customFormat="1" ht="12.75"/>
    <row r="245" s="38" customFormat="1" ht="12.75"/>
    <row r="246" s="38" customFormat="1" ht="12.75"/>
    <row r="247" s="38" customFormat="1" ht="12.75"/>
    <row r="248" s="38" customFormat="1" ht="12.75"/>
    <row r="249" s="38" customFormat="1" ht="12.75"/>
    <row r="250" s="38" customFormat="1" ht="12.75"/>
    <row r="251" s="38" customFormat="1" ht="12.75"/>
    <row r="252" s="38" customFormat="1" ht="12.75"/>
    <row r="253" s="38" customFormat="1" ht="12.75"/>
    <row r="254" s="38" customFormat="1" ht="12.75"/>
    <row r="255" s="38" customFormat="1" ht="12.75"/>
    <row r="256" s="38" customFormat="1" ht="12.75"/>
    <row r="257" s="38" customFormat="1" ht="12.75"/>
    <row r="258" s="38" customFormat="1" ht="12.75"/>
    <row r="259" s="38" customFormat="1" ht="12.75"/>
    <row r="260" s="38" customFormat="1" ht="12.75"/>
    <row r="261" s="38" customFormat="1" ht="12.75"/>
    <row r="262" s="38" customFormat="1" ht="12.75"/>
    <row r="263" s="38" customFormat="1" ht="12.75"/>
    <row r="264" s="38" customFormat="1" ht="12.75"/>
    <row r="265" s="38" customFormat="1" ht="12.75"/>
    <row r="266" s="38" customFormat="1" ht="12.75"/>
    <row r="267" s="38" customFormat="1" ht="12.75"/>
    <row r="268" s="38" customFormat="1" ht="12.75"/>
    <row r="269" s="38" customFormat="1" ht="12.75"/>
    <row r="270" s="38" customFormat="1" ht="12.75"/>
    <row r="271" s="38" customFormat="1" ht="12.75"/>
    <row r="272" s="38" customFormat="1" ht="12.75"/>
    <row r="273" s="38" customFormat="1" ht="12.75"/>
    <row r="274" s="38" customFormat="1" ht="12.75"/>
    <row r="275" s="38" customFormat="1" ht="12.75"/>
    <row r="276" s="38" customFormat="1" ht="12.75"/>
    <row r="277" s="38" customFormat="1" ht="12.75"/>
    <row r="278" s="38" customFormat="1" ht="12.75"/>
    <row r="279" s="38" customFormat="1" ht="12.75"/>
    <row r="280" s="38" customFormat="1" ht="12.75"/>
    <row r="281" s="38" customFormat="1" ht="12.75"/>
    <row r="282" s="38" customFormat="1" ht="12.75"/>
    <row r="283" s="38" customFormat="1" ht="12.75"/>
    <row r="284" s="38" customFormat="1" ht="12.75"/>
    <row r="285" s="38" customFormat="1" ht="12.75"/>
    <row r="286" s="38" customFormat="1" ht="12.75"/>
    <row r="287" s="38" customFormat="1" ht="12.75"/>
    <row r="288" s="38" customFormat="1" ht="12.75"/>
    <row r="289" s="38" customFormat="1" ht="12.75"/>
    <row r="290" s="38" customFormat="1" ht="12.75"/>
    <row r="291" s="38" customFormat="1" ht="12.75"/>
    <row r="292" s="38" customFormat="1" ht="12.75"/>
    <row r="293" s="38" customFormat="1" ht="12.75"/>
    <row r="294" s="38" customFormat="1" ht="12.75"/>
    <row r="295" s="38" customFormat="1" ht="12.75"/>
    <row r="296" s="38" customFormat="1" ht="12.75"/>
    <row r="297" s="38" customFormat="1" ht="12.75"/>
    <row r="298" s="38" customFormat="1" ht="12.75"/>
    <row r="299" s="38" customFormat="1" ht="12.75"/>
    <row r="300" s="38" customFormat="1" ht="12.75"/>
    <row r="301" s="38" customFormat="1" ht="12.75"/>
    <row r="302" s="38" customFormat="1" ht="12.75"/>
    <row r="303" s="38" customFormat="1" ht="12.75"/>
    <row r="304" s="38" customFormat="1" ht="12.75"/>
    <row r="305" s="38" customFormat="1" ht="12.75"/>
    <row r="306" s="38" customFormat="1" ht="12.75"/>
    <row r="307" s="38" customFormat="1" ht="12.75"/>
    <row r="308" s="38" customFormat="1" ht="12.75"/>
    <row r="309" s="38" customFormat="1" ht="12.75"/>
    <row r="310" s="38" customFormat="1" ht="12.75"/>
    <row r="311" s="38" customFormat="1" ht="12.75"/>
    <row r="312" s="38" customFormat="1" ht="12.75"/>
    <row r="313" s="38" customFormat="1" ht="12.75"/>
    <row r="314" s="38" customFormat="1" ht="12.75"/>
    <row r="315" s="38" customFormat="1" ht="12.75"/>
    <row r="316" s="38" customFormat="1" ht="12.75"/>
    <row r="317" s="38" customFormat="1" ht="12.75"/>
    <row r="318" s="38" customFormat="1" ht="12.75"/>
    <row r="319" s="38" customFormat="1" ht="12.75"/>
    <row r="320" s="38" customFormat="1" ht="12.75"/>
    <row r="321" s="38" customFormat="1" ht="12.75"/>
    <row r="322" s="38" customFormat="1" ht="12.75"/>
    <row r="323" s="38" customFormat="1" ht="12.75"/>
    <row r="324" s="38" customFormat="1" ht="12.75"/>
    <row r="325" s="38" customFormat="1" ht="12.75"/>
    <row r="326" s="38" customFormat="1" ht="12.75"/>
    <row r="327" s="38" customFormat="1" ht="12.75"/>
    <row r="328" s="38" customFormat="1" ht="12.75"/>
    <row r="329" s="38" customFormat="1" ht="12.75"/>
    <row r="330" s="38" customFormat="1" ht="12.75"/>
    <row r="331" s="38" customFormat="1" ht="12.75"/>
    <row r="332" s="38" customFormat="1" ht="12.75"/>
    <row r="333" s="38" customFormat="1" ht="12.75"/>
    <row r="334" s="38" customFormat="1" ht="12.75"/>
    <row r="335" s="38" customFormat="1" ht="12.75"/>
    <row r="336" s="38" customFormat="1" ht="12.75"/>
    <row r="337" s="38" customFormat="1" ht="12.75"/>
    <row r="338" s="38" customFormat="1" ht="12.75"/>
    <row r="339" s="38" customFormat="1" ht="12.75"/>
    <row r="340" s="38" customFormat="1" ht="12.75"/>
    <row r="341" s="38" customFormat="1" ht="12.75"/>
    <row r="342" s="38" customFormat="1" ht="12.75"/>
    <row r="343" s="38" customFormat="1" ht="12.75"/>
    <row r="344" s="38" customFormat="1" ht="12.75"/>
    <row r="345" s="38" customFormat="1" ht="12.75"/>
    <row r="346" s="38" customFormat="1" ht="12.75"/>
    <row r="347" s="38" customFormat="1" ht="12.75"/>
    <row r="348" s="38" customFormat="1" ht="12.75"/>
    <row r="349" s="38" customFormat="1" ht="12.75"/>
    <row r="350" s="38" customFormat="1" ht="12.75"/>
    <row r="351" s="38" customFormat="1" ht="12.75"/>
    <row r="352" s="38" customFormat="1" ht="12.75"/>
    <row r="353" s="38" customFormat="1" ht="12.75"/>
    <row r="354" s="38" customFormat="1" ht="12.75"/>
    <row r="355" s="38" customFormat="1" ht="12.75"/>
    <row r="356" s="38" customFormat="1" ht="12.75"/>
    <row r="357" s="38" customFormat="1" ht="12.75"/>
    <row r="358" s="38" customFormat="1" ht="12.75"/>
    <row r="359" s="38" customFormat="1" ht="12.75"/>
    <row r="360" s="38" customFormat="1" ht="12.75"/>
    <row r="361" s="38" customFormat="1" ht="12.75"/>
    <row r="362" s="38" customFormat="1" ht="12.75"/>
    <row r="363" s="38" customFormat="1" ht="12.75"/>
    <row r="364" s="38" customFormat="1" ht="12.75"/>
    <row r="365" s="38" customFormat="1" ht="12.75"/>
    <row r="366" s="38" customFormat="1" ht="12.75"/>
    <row r="367" s="38" customFormat="1" ht="12.75"/>
    <row r="368" s="38" customFormat="1" ht="12.75"/>
    <row r="369" s="38" customFormat="1" ht="12.75"/>
    <row r="370" s="38" customFormat="1" ht="12.75"/>
    <row r="371" s="38" customFormat="1" ht="12.75"/>
    <row r="372" s="38" customFormat="1" ht="12.75"/>
    <row r="373" s="38" customFormat="1" ht="12.75"/>
    <row r="374" s="38" customFormat="1" ht="12.75"/>
    <row r="375" s="38" customFormat="1" ht="12.75"/>
    <row r="376" s="38" customFormat="1" ht="12.75"/>
    <row r="377" s="38" customFormat="1" ht="12.75"/>
    <row r="378" s="38" customFormat="1" ht="12.75"/>
    <row r="379" s="38" customFormat="1" ht="12.75"/>
    <row r="380" s="38" customFormat="1" ht="12.75"/>
    <row r="381" s="38" customFormat="1" ht="12.75"/>
    <row r="382" s="38" customFormat="1" ht="12.75"/>
    <row r="383" s="38" customFormat="1" ht="12.75"/>
    <row r="384" s="38" customFormat="1" ht="12.75"/>
    <row r="385" s="38" customFormat="1" ht="12.75"/>
    <row r="386" s="38" customFormat="1" ht="12.75"/>
    <row r="387" s="38" customFormat="1" ht="12.75"/>
    <row r="388" s="38" customFormat="1" ht="12.75"/>
    <row r="389" s="38" customFormat="1" ht="12.75"/>
    <row r="390" s="38" customFormat="1" ht="12.75"/>
    <row r="391" s="38" customFormat="1" ht="12.75"/>
    <row r="392" s="38" customFormat="1" ht="12.75"/>
    <row r="393" s="38" customFormat="1" ht="12.75"/>
    <row r="394" s="38" customFormat="1" ht="12.75"/>
    <row r="395" s="38" customFormat="1" ht="12.75"/>
    <row r="396" s="38" customFormat="1" ht="12.75"/>
    <row r="397" s="38" customFormat="1" ht="12.75"/>
    <row r="398" s="38" customFormat="1" ht="12.75"/>
    <row r="399" s="38" customFormat="1" ht="12.75"/>
    <row r="400" s="38" customFormat="1" ht="12.75"/>
    <row r="401" s="38" customFormat="1" ht="12.75"/>
    <row r="402" s="38" customFormat="1" ht="12.75"/>
    <row r="403" s="38" customFormat="1" ht="12.75"/>
    <row r="404" s="38" customFormat="1" ht="12.75"/>
    <row r="405" s="38" customFormat="1" ht="12.75"/>
    <row r="406" s="38" customFormat="1" ht="12.75"/>
    <row r="407" s="38" customFormat="1" ht="12.75"/>
    <row r="408" s="38" customFormat="1" ht="12.75"/>
    <row r="409" s="38" customFormat="1" ht="12.75"/>
    <row r="410" s="38" customFormat="1" ht="12.75"/>
    <row r="411" s="38" customFormat="1" ht="12.75"/>
    <row r="412" s="38" customFormat="1" ht="12.75"/>
    <row r="413" s="38" customFormat="1" ht="12.75"/>
    <row r="414" s="38" customFormat="1" ht="12.75"/>
    <row r="415" s="38" customFormat="1" ht="12.75"/>
    <row r="416" s="38" customFormat="1" ht="12.75"/>
    <row r="417" s="38" customFormat="1" ht="12.75"/>
    <row r="418" s="38" customFormat="1" ht="12.75"/>
    <row r="419" s="38" customFormat="1" ht="12.75"/>
    <row r="420" s="38" customFormat="1" ht="12.75"/>
    <row r="421" s="38" customFormat="1" ht="12.75"/>
    <row r="422" s="38" customFormat="1" ht="12.75"/>
    <row r="423" s="38" customFormat="1" ht="12.75"/>
    <row r="424" s="38" customFormat="1" ht="12.75"/>
    <row r="425" s="38" customFormat="1" ht="12.75"/>
    <row r="426" s="38" customFormat="1" ht="12.75"/>
    <row r="427" s="38" customFormat="1" ht="12.75"/>
    <row r="428" s="38" customFormat="1" ht="12.75"/>
    <row r="429" s="38" customFormat="1" ht="12.75"/>
    <row r="430" s="38" customFormat="1" ht="12.75"/>
    <row r="431" s="38" customFormat="1" ht="12.75"/>
    <row r="432" s="38" customFormat="1" ht="12.75"/>
    <row r="433" s="38" customFormat="1" ht="12.75"/>
    <row r="434" s="38" customFormat="1" ht="12.75"/>
    <row r="435" s="38" customFormat="1" ht="12.75"/>
    <row r="436" s="38" customFormat="1" ht="12.75"/>
    <row r="437" s="38" customFormat="1" ht="12.75"/>
    <row r="438" s="38" customFormat="1" ht="12.75"/>
    <row r="439" s="38" customFormat="1" ht="12.75"/>
    <row r="440" s="38" customFormat="1" ht="12.75"/>
    <row r="441" s="38" customFormat="1" ht="12.75"/>
    <row r="442" s="38" customFormat="1" ht="12.75"/>
    <row r="443" s="38" customFormat="1" ht="12.75"/>
    <row r="444" s="38" customFormat="1" ht="12.75"/>
    <row r="445" s="38" customFormat="1" ht="12.75"/>
    <row r="446" s="38" customFormat="1" ht="12.75"/>
    <row r="447" s="38" customFormat="1" ht="12.75"/>
    <row r="448" s="38" customFormat="1" ht="12.75"/>
    <row r="449" s="38" customFormat="1" ht="12.75"/>
    <row r="450" s="38" customFormat="1" ht="12.75"/>
    <row r="451" s="38" customFormat="1" ht="12.75"/>
    <row r="452" s="38" customFormat="1" ht="12.75"/>
    <row r="453" s="38" customFormat="1" ht="12.75"/>
    <row r="454" s="38" customFormat="1" ht="12.75"/>
    <row r="455" s="38" customFormat="1" ht="12.75"/>
    <row r="456" s="38" customFormat="1" ht="12.75"/>
    <row r="457" s="38" customFormat="1" ht="12.75"/>
    <row r="458" s="38" customFormat="1" ht="12.75"/>
    <row r="459" s="38" customFormat="1" ht="12.75"/>
    <row r="460" s="38" customFormat="1" ht="12.75"/>
    <row r="461" s="38" customFormat="1" ht="12.75"/>
    <row r="462" s="38" customFormat="1" ht="12.75"/>
    <row r="463" s="38" customFormat="1" ht="12.75"/>
    <row r="464" s="38" customFormat="1" ht="12.75"/>
    <row r="465" s="38" customFormat="1" ht="12.75"/>
    <row r="466" s="38" customFormat="1" ht="12.75"/>
    <row r="467" s="38" customFormat="1" ht="12.75"/>
    <row r="468" s="38" customFormat="1" ht="12.75"/>
    <row r="469" s="38" customFormat="1" ht="12.75"/>
    <row r="470" s="38" customFormat="1" ht="12.75"/>
    <row r="471" s="38" customFormat="1" ht="12.75"/>
    <row r="472" s="38" customFormat="1" ht="12.75"/>
    <row r="473" s="38" customFormat="1" ht="12.75"/>
    <row r="474" s="38" customFormat="1" ht="12.75"/>
    <row r="475" s="38" customFormat="1" ht="12.75"/>
    <row r="476" s="38" customFormat="1" ht="12.75"/>
    <row r="477" s="38" customFormat="1" ht="12.75"/>
    <row r="478" s="38" customFormat="1" ht="12.75"/>
    <row r="479" s="38" customFormat="1" ht="12.75"/>
    <row r="480" s="38" customFormat="1" ht="12.75"/>
    <row r="481" s="38" customFormat="1" ht="12.75"/>
    <row r="482" s="38" customFormat="1" ht="12.75"/>
    <row r="483" s="38" customFormat="1" ht="12.75"/>
    <row r="484" s="38" customFormat="1" ht="12.75"/>
    <row r="485" s="38" customFormat="1" ht="12.75"/>
    <row r="486" s="38" customFormat="1" ht="12.75"/>
    <row r="487" s="38" customFormat="1" ht="12.75"/>
    <row r="488" s="38" customFormat="1" ht="12.75"/>
    <row r="489" s="38" customFormat="1" ht="12.75"/>
    <row r="490" s="38" customFormat="1" ht="12.75"/>
    <row r="491" s="38" customFormat="1" ht="12.75"/>
    <row r="492" s="38" customFormat="1" ht="12.75"/>
    <row r="493" s="38" customFormat="1" ht="12.75"/>
    <row r="494" s="38" customFormat="1" ht="12.75"/>
    <row r="495" s="38" customFormat="1" ht="12.75"/>
    <row r="496" s="38" customFormat="1" ht="12.75"/>
    <row r="497" s="38" customFormat="1" ht="12.75"/>
    <row r="498" s="38" customFormat="1" ht="12.75"/>
    <row r="499" s="38" customFormat="1" ht="12.75"/>
    <row r="500" s="38" customFormat="1" ht="12.75"/>
    <row r="501" s="38" customFormat="1" ht="12.75"/>
    <row r="502" s="38" customFormat="1" ht="12.75"/>
    <row r="503" s="38" customFormat="1" ht="12.75"/>
    <row r="504" s="38" customFormat="1" ht="12.75"/>
    <row r="505" s="38" customFormat="1" ht="12.75"/>
    <row r="506" s="38" customFormat="1" ht="12.75"/>
    <row r="507" s="38" customFormat="1" ht="12.75"/>
    <row r="508" s="38" customFormat="1" ht="12.75"/>
    <row r="509" s="38" customFormat="1" ht="12.75"/>
    <row r="510" s="38" customFormat="1" ht="12.75"/>
    <row r="511" s="38" customFormat="1" ht="12.75"/>
    <row r="512" s="38" customFormat="1" ht="12.75"/>
    <row r="513" s="38" customFormat="1" ht="12.75"/>
    <row r="514" s="38" customFormat="1" ht="12.75"/>
  </sheetData>
  <sheetProtection/>
  <mergeCells count="15">
    <mergeCell ref="C44:D44"/>
    <mergeCell ref="D14:N14"/>
    <mergeCell ref="C45:D45"/>
    <mergeCell ref="C23:N26"/>
    <mergeCell ref="C28:N31"/>
    <mergeCell ref="C62:N62"/>
    <mergeCell ref="C47:N47"/>
    <mergeCell ref="C48:N48"/>
    <mergeCell ref="C75:N75"/>
    <mergeCell ref="C71:N71"/>
    <mergeCell ref="C4:N7"/>
    <mergeCell ref="K8:N8"/>
    <mergeCell ref="C37:D37"/>
    <mergeCell ref="C38:D38"/>
    <mergeCell ref="C39:D39"/>
  </mergeCells>
  <printOptions/>
  <pageMargins left="0.787401575" right="0.787401575" top="0.984251969" bottom="0.8875" header="0.5" footer="0.5"/>
  <pageSetup fitToHeight="1" fitToWidth="1" horizontalDpi="600" verticalDpi="600" orientation="landscape" paperSize="9" scale="40" r:id="rId3"/>
  <headerFooter alignWithMargins="0">
    <oddFooter>&amp;L&amp;A&amp;C&amp;D</oddFooter>
  </headerFooter>
  <legacyDrawing r:id="rId2"/>
</worksheet>
</file>

<file path=xl/worksheets/sheet10.xml><?xml version="1.0" encoding="utf-8"?>
<worksheet xmlns="http://schemas.openxmlformats.org/spreadsheetml/2006/main" xmlns:r="http://schemas.openxmlformats.org/officeDocument/2006/relationships">
  <sheetPr codeName="List27">
    <tabColor theme="9" tint="0.39998000860214233"/>
    <pageSetUpPr fitToPage="1"/>
  </sheetPr>
  <dimension ref="A1:AC64"/>
  <sheetViews>
    <sheetView zoomScale="90" zoomScaleNormal="90" zoomScalePageLayoutView="0" workbookViewId="0" topLeftCell="A1">
      <selection activeCell="E4" sqref="E4"/>
    </sheetView>
  </sheetViews>
  <sheetFormatPr defaultColWidth="9.140625" defaultRowHeight="12.75"/>
  <cols>
    <col min="1" max="1" width="2.7109375" style="49" customWidth="1"/>
    <col min="2" max="2" width="5.7109375" style="49" customWidth="1"/>
    <col min="3" max="3" width="36.28125" style="49" customWidth="1"/>
    <col min="4" max="4" width="12.28125" style="49" customWidth="1"/>
    <col min="5" max="19" width="10.7109375" style="49" customWidth="1"/>
    <col min="20" max="29" width="10.421875" style="49" customWidth="1"/>
    <col min="30" max="35" width="7.140625" style="49" customWidth="1"/>
    <col min="36" max="16384" width="9.140625" style="49" customWidth="1"/>
  </cols>
  <sheetData>
    <row r="1" spans="1:19" ht="12" thickBot="1">
      <c r="A1" s="45" t="s">
        <v>1</v>
      </c>
      <c r="B1" s="45"/>
      <c r="C1" s="45"/>
      <c r="D1" s="45"/>
      <c r="E1" s="45"/>
      <c r="F1" s="45"/>
      <c r="G1" s="45"/>
      <c r="H1" s="45"/>
      <c r="I1" s="45"/>
      <c r="J1" s="45"/>
      <c r="K1" s="45"/>
      <c r="L1" s="45"/>
      <c r="M1" s="45"/>
      <c r="N1" s="45"/>
      <c r="O1" s="45"/>
      <c r="P1" s="45"/>
      <c r="Q1" s="45"/>
      <c r="R1" s="45"/>
      <c r="S1" s="45"/>
    </row>
    <row r="2" spans="2:29" s="58" customFormat="1" ht="12.75" customHeight="1">
      <c r="B2" s="410" t="s">
        <v>16</v>
      </c>
      <c r="C2" s="409" t="str">
        <f>IF('0 Úvod'!$M$3="English",Slovnik!D282,Slovnik!C282)</f>
        <v>Ostatní přínosy a náklady projektu</v>
      </c>
      <c r="D2" s="528"/>
      <c r="E2" s="1363">
        <f>'0 Úvod'!G18</f>
        <v>2014</v>
      </c>
      <c r="F2" s="1363">
        <f aca="true" t="shared" si="0" ref="F2:AC2">E2+1</f>
        <v>2015</v>
      </c>
      <c r="G2" s="1363">
        <f t="shared" si="0"/>
        <v>2016</v>
      </c>
      <c r="H2" s="1363">
        <f t="shared" si="0"/>
        <v>2017</v>
      </c>
      <c r="I2" s="1363">
        <f t="shared" si="0"/>
        <v>2018</v>
      </c>
      <c r="J2" s="1363">
        <f t="shared" si="0"/>
        <v>2019</v>
      </c>
      <c r="K2" s="1363">
        <f t="shared" si="0"/>
        <v>2020</v>
      </c>
      <c r="L2" s="1363">
        <f t="shared" si="0"/>
        <v>2021</v>
      </c>
      <c r="M2" s="1363">
        <f t="shared" si="0"/>
        <v>2022</v>
      </c>
      <c r="N2" s="1363">
        <f t="shared" si="0"/>
        <v>2023</v>
      </c>
      <c r="O2" s="1363">
        <f t="shared" si="0"/>
        <v>2024</v>
      </c>
      <c r="P2" s="1363">
        <f t="shared" si="0"/>
        <v>2025</v>
      </c>
      <c r="Q2" s="1363">
        <f t="shared" si="0"/>
        <v>2026</v>
      </c>
      <c r="R2" s="1363">
        <f t="shared" si="0"/>
        <v>2027</v>
      </c>
      <c r="S2" s="1363">
        <f t="shared" si="0"/>
        <v>2028</v>
      </c>
      <c r="T2" s="1363">
        <f t="shared" si="0"/>
        <v>2029</v>
      </c>
      <c r="U2" s="1363">
        <f t="shared" si="0"/>
        <v>2030</v>
      </c>
      <c r="V2" s="1363">
        <f t="shared" si="0"/>
        <v>2031</v>
      </c>
      <c r="W2" s="1363">
        <f t="shared" si="0"/>
        <v>2032</v>
      </c>
      <c r="X2" s="1363">
        <f t="shared" si="0"/>
        <v>2033</v>
      </c>
      <c r="Y2" s="1363">
        <f t="shared" si="0"/>
        <v>2034</v>
      </c>
      <c r="Z2" s="1363">
        <f t="shared" si="0"/>
        <v>2035</v>
      </c>
      <c r="AA2" s="1363">
        <f t="shared" si="0"/>
        <v>2036</v>
      </c>
      <c r="AB2" s="1363">
        <f t="shared" si="0"/>
        <v>2037</v>
      </c>
      <c r="AC2" s="1361">
        <f t="shared" si="0"/>
        <v>2038</v>
      </c>
    </row>
    <row r="3" spans="1:29" s="58" customFormat="1" ht="13.5" thickBot="1">
      <c r="A3" s="56"/>
      <c r="B3" s="411" t="s">
        <v>17</v>
      </c>
      <c r="C3" s="412" t="str">
        <f>IF('0 Úvod'!$M$3="English",Slovnik!D283,Slovnik!C283)</f>
        <v>Scénář s projektem</v>
      </c>
      <c r="D3" s="417" t="str">
        <f>IF('0 Úvod'!$M$3="English",Slovnik!D286,Slovnik!C286)</f>
        <v>Celkem</v>
      </c>
      <c r="E3" s="1364"/>
      <c r="F3" s="1364"/>
      <c r="G3" s="1364"/>
      <c r="H3" s="1364"/>
      <c r="I3" s="1364"/>
      <c r="J3" s="1364"/>
      <c r="K3" s="1364"/>
      <c r="L3" s="1364"/>
      <c r="M3" s="1364"/>
      <c r="N3" s="1364"/>
      <c r="O3" s="1364"/>
      <c r="P3" s="1364"/>
      <c r="Q3" s="1364"/>
      <c r="R3" s="1364"/>
      <c r="S3" s="1364"/>
      <c r="T3" s="1364"/>
      <c r="U3" s="1364"/>
      <c r="V3" s="1364"/>
      <c r="W3" s="1364"/>
      <c r="X3" s="1364"/>
      <c r="Y3" s="1364"/>
      <c r="Z3" s="1364"/>
      <c r="AA3" s="1364"/>
      <c r="AB3" s="1364"/>
      <c r="AC3" s="1362"/>
    </row>
    <row r="4" spans="1:29" s="58" customFormat="1" ht="12">
      <c r="A4" s="45"/>
      <c r="B4" s="389"/>
      <c r="C4" s="1212"/>
      <c r="D4" s="418">
        <f>SUM(E4:AC4,E12:AC12)</f>
        <v>0</v>
      </c>
      <c r="E4" s="529"/>
      <c r="F4" s="529"/>
      <c r="G4" s="529"/>
      <c r="H4" s="529"/>
      <c r="I4" s="529"/>
      <c r="J4" s="529"/>
      <c r="K4" s="529"/>
      <c r="L4" s="529"/>
      <c r="M4" s="529"/>
      <c r="N4" s="529"/>
      <c r="O4" s="529"/>
      <c r="P4" s="529"/>
      <c r="Q4" s="529"/>
      <c r="R4" s="529"/>
      <c r="S4" s="529"/>
      <c r="T4" s="529"/>
      <c r="U4" s="529"/>
      <c r="V4" s="529"/>
      <c r="W4" s="529"/>
      <c r="X4" s="529"/>
      <c r="Y4" s="529"/>
      <c r="Z4" s="529"/>
      <c r="AA4" s="529"/>
      <c r="AB4" s="529"/>
      <c r="AC4" s="530"/>
    </row>
    <row r="5" spans="1:29" s="58" customFormat="1" ht="12">
      <c r="A5" s="45"/>
      <c r="B5" s="389"/>
      <c r="C5" s="1083"/>
      <c r="D5" s="418">
        <f>SUM(E5:AC5,E13:AC13)</f>
        <v>0</v>
      </c>
      <c r="E5" s="529"/>
      <c r="F5" s="529"/>
      <c r="G5" s="529"/>
      <c r="H5" s="529"/>
      <c r="I5" s="529"/>
      <c r="J5" s="529"/>
      <c r="K5" s="529"/>
      <c r="L5" s="529"/>
      <c r="M5" s="529"/>
      <c r="N5" s="529"/>
      <c r="O5" s="529"/>
      <c r="P5" s="529"/>
      <c r="Q5" s="529"/>
      <c r="R5" s="529"/>
      <c r="S5" s="529"/>
      <c r="T5" s="529"/>
      <c r="U5" s="529"/>
      <c r="V5" s="529"/>
      <c r="W5" s="529"/>
      <c r="X5" s="529"/>
      <c r="Y5" s="529"/>
      <c r="Z5" s="529"/>
      <c r="AA5" s="529"/>
      <c r="AB5" s="529"/>
      <c r="AC5" s="530"/>
    </row>
    <row r="6" spans="1:29" s="58" customFormat="1" ht="12">
      <c r="A6" s="45"/>
      <c r="B6" s="389"/>
      <c r="C6" s="1083"/>
      <c r="D6" s="418">
        <f>SUM(E6:AC6,E14:AC14)</f>
        <v>0</v>
      </c>
      <c r="E6" s="529"/>
      <c r="F6" s="529"/>
      <c r="G6" s="529"/>
      <c r="H6" s="529"/>
      <c r="I6" s="529"/>
      <c r="J6" s="529"/>
      <c r="K6" s="529"/>
      <c r="L6" s="529"/>
      <c r="M6" s="529"/>
      <c r="N6" s="529"/>
      <c r="O6" s="529"/>
      <c r="P6" s="529"/>
      <c r="Q6" s="529"/>
      <c r="R6" s="529"/>
      <c r="S6" s="529"/>
      <c r="T6" s="529"/>
      <c r="U6" s="529"/>
      <c r="V6" s="529"/>
      <c r="W6" s="529"/>
      <c r="X6" s="529"/>
      <c r="Y6" s="529"/>
      <c r="Z6" s="529"/>
      <c r="AA6" s="529"/>
      <c r="AB6" s="529"/>
      <c r="AC6" s="530"/>
    </row>
    <row r="7" spans="1:29" s="58" customFormat="1" ht="12">
      <c r="A7" s="45"/>
      <c r="B7" s="399"/>
      <c r="C7" s="1084"/>
      <c r="D7" s="419">
        <f>SUM(E7:AC7,E15:AC15)</f>
        <v>0</v>
      </c>
      <c r="E7" s="444"/>
      <c r="F7" s="444"/>
      <c r="G7" s="444"/>
      <c r="H7" s="444"/>
      <c r="I7" s="444"/>
      <c r="J7" s="444"/>
      <c r="K7" s="444"/>
      <c r="L7" s="444"/>
      <c r="M7" s="444"/>
      <c r="N7" s="444"/>
      <c r="O7" s="444"/>
      <c r="P7" s="444"/>
      <c r="Q7" s="444"/>
      <c r="R7" s="444"/>
      <c r="S7" s="444"/>
      <c r="T7" s="444"/>
      <c r="U7" s="444"/>
      <c r="V7" s="444"/>
      <c r="W7" s="444"/>
      <c r="X7" s="444"/>
      <c r="Y7" s="444"/>
      <c r="Z7" s="444"/>
      <c r="AA7" s="444"/>
      <c r="AB7" s="444"/>
      <c r="AC7" s="445"/>
    </row>
    <row r="8" spans="1:29" s="58" customFormat="1" ht="12.75" thickBot="1">
      <c r="A8" s="56"/>
      <c r="B8" s="391"/>
      <c r="C8" s="402"/>
      <c r="D8" s="427">
        <f>SUM(E8:AC8,E16:AC16)</f>
        <v>0</v>
      </c>
      <c r="E8" s="393">
        <f>SUM(E4:E7)</f>
        <v>0</v>
      </c>
      <c r="F8" s="393">
        <f>SUM(F4:F7)</f>
        <v>0</v>
      </c>
      <c r="G8" s="393">
        <f aca="true" t="shared" si="1" ref="G8:AC8">SUM(G4:G7)</f>
        <v>0</v>
      </c>
      <c r="H8" s="393">
        <f t="shared" si="1"/>
        <v>0</v>
      </c>
      <c r="I8" s="393">
        <f t="shared" si="1"/>
        <v>0</v>
      </c>
      <c r="J8" s="393">
        <f t="shared" si="1"/>
        <v>0</v>
      </c>
      <c r="K8" s="393">
        <f t="shared" si="1"/>
        <v>0</v>
      </c>
      <c r="L8" s="393">
        <f t="shared" si="1"/>
        <v>0</v>
      </c>
      <c r="M8" s="393">
        <f t="shared" si="1"/>
        <v>0</v>
      </c>
      <c r="N8" s="393">
        <f t="shared" si="1"/>
        <v>0</v>
      </c>
      <c r="O8" s="393">
        <f t="shared" si="1"/>
        <v>0</v>
      </c>
      <c r="P8" s="393">
        <f t="shared" si="1"/>
        <v>0</v>
      </c>
      <c r="Q8" s="393">
        <f t="shared" si="1"/>
        <v>0</v>
      </c>
      <c r="R8" s="393">
        <f t="shared" si="1"/>
        <v>0</v>
      </c>
      <c r="S8" s="393">
        <f t="shared" si="1"/>
        <v>0</v>
      </c>
      <c r="T8" s="393">
        <f t="shared" si="1"/>
        <v>0</v>
      </c>
      <c r="U8" s="393">
        <f t="shared" si="1"/>
        <v>0</v>
      </c>
      <c r="V8" s="393">
        <f t="shared" si="1"/>
        <v>0</v>
      </c>
      <c r="W8" s="393">
        <f t="shared" si="1"/>
        <v>0</v>
      </c>
      <c r="X8" s="393">
        <f t="shared" si="1"/>
        <v>0</v>
      </c>
      <c r="Y8" s="393">
        <f t="shared" si="1"/>
        <v>0</v>
      </c>
      <c r="Z8" s="393">
        <f t="shared" si="1"/>
        <v>0</v>
      </c>
      <c r="AA8" s="393">
        <f t="shared" si="1"/>
        <v>0</v>
      </c>
      <c r="AB8" s="393">
        <f t="shared" si="1"/>
        <v>0</v>
      </c>
      <c r="AC8" s="394">
        <f t="shared" si="1"/>
        <v>0</v>
      </c>
    </row>
    <row r="9" spans="1:29" s="58" customFormat="1" ht="12" thickBot="1">
      <c r="A9" s="56"/>
      <c r="B9" s="61"/>
      <c r="C9" s="56"/>
      <c r="D9" s="73"/>
      <c r="E9" s="57"/>
      <c r="F9" s="57"/>
      <c r="G9" s="57"/>
      <c r="H9" s="57"/>
      <c r="I9" s="57"/>
      <c r="J9" s="57"/>
      <c r="K9" s="57"/>
      <c r="L9" s="57"/>
      <c r="M9" s="57"/>
      <c r="N9" s="57"/>
      <c r="O9" s="57"/>
      <c r="P9" s="57"/>
      <c r="Q9" s="57"/>
      <c r="R9" s="57"/>
      <c r="S9" s="57"/>
      <c r="T9" s="57"/>
      <c r="U9" s="57"/>
      <c r="V9" s="57"/>
      <c r="W9" s="57"/>
      <c r="X9" s="57"/>
      <c r="Y9" s="57"/>
      <c r="Z9" s="57"/>
      <c r="AA9" s="57"/>
      <c r="AB9" s="57"/>
      <c r="AC9" s="57"/>
    </row>
    <row r="10" spans="2:29" s="58" customFormat="1" ht="12.75">
      <c r="B10" s="410" t="s">
        <v>16</v>
      </c>
      <c r="C10" s="409" t="str">
        <f>C2</f>
        <v>Ostatní přínosy a náklady projektu</v>
      </c>
      <c r="D10" s="528"/>
      <c r="E10" s="1363">
        <f>AC2+1</f>
        <v>2039</v>
      </c>
      <c r="F10" s="1363">
        <f aca="true" t="shared" si="2" ref="F10:AC10">E10+1</f>
        <v>2040</v>
      </c>
      <c r="G10" s="1363">
        <f t="shared" si="2"/>
        <v>2041</v>
      </c>
      <c r="H10" s="1363">
        <f t="shared" si="2"/>
        <v>2042</v>
      </c>
      <c r="I10" s="1363">
        <f t="shared" si="2"/>
        <v>2043</v>
      </c>
      <c r="J10" s="1363">
        <f t="shared" si="2"/>
        <v>2044</v>
      </c>
      <c r="K10" s="1363">
        <f t="shared" si="2"/>
        <v>2045</v>
      </c>
      <c r="L10" s="1363">
        <f t="shared" si="2"/>
        <v>2046</v>
      </c>
      <c r="M10" s="1363">
        <f t="shared" si="2"/>
        <v>2047</v>
      </c>
      <c r="N10" s="1363">
        <f t="shared" si="2"/>
        <v>2048</v>
      </c>
      <c r="O10" s="1363">
        <f t="shared" si="2"/>
        <v>2049</v>
      </c>
      <c r="P10" s="1363">
        <f t="shared" si="2"/>
        <v>2050</v>
      </c>
      <c r="Q10" s="1363">
        <f t="shared" si="2"/>
        <v>2051</v>
      </c>
      <c r="R10" s="1363">
        <f t="shared" si="2"/>
        <v>2052</v>
      </c>
      <c r="S10" s="1363">
        <f t="shared" si="2"/>
        <v>2053</v>
      </c>
      <c r="T10" s="1363">
        <f t="shared" si="2"/>
        <v>2054</v>
      </c>
      <c r="U10" s="1363">
        <f t="shared" si="2"/>
        <v>2055</v>
      </c>
      <c r="V10" s="1363">
        <f t="shared" si="2"/>
        <v>2056</v>
      </c>
      <c r="W10" s="1363">
        <f t="shared" si="2"/>
        <v>2057</v>
      </c>
      <c r="X10" s="1363">
        <f t="shared" si="2"/>
        <v>2058</v>
      </c>
      <c r="Y10" s="1363">
        <f t="shared" si="2"/>
        <v>2059</v>
      </c>
      <c r="Z10" s="1363">
        <f t="shared" si="2"/>
        <v>2060</v>
      </c>
      <c r="AA10" s="1363">
        <f t="shared" si="2"/>
        <v>2061</v>
      </c>
      <c r="AB10" s="1363">
        <f t="shared" si="2"/>
        <v>2062</v>
      </c>
      <c r="AC10" s="1361">
        <f t="shared" si="2"/>
        <v>2063</v>
      </c>
    </row>
    <row r="11" spans="1:29" s="58" customFormat="1" ht="13.5" thickBot="1">
      <c r="A11" s="56"/>
      <c r="B11" s="411" t="s">
        <v>19</v>
      </c>
      <c r="C11" s="413" t="str">
        <f>C3</f>
        <v>Scénář s projektem</v>
      </c>
      <c r="D11" s="424"/>
      <c r="E11" s="1364"/>
      <c r="F11" s="1364"/>
      <c r="G11" s="1364"/>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2"/>
    </row>
    <row r="12" spans="1:29" s="58" customFormat="1" ht="12">
      <c r="A12" s="56"/>
      <c r="B12" s="389"/>
      <c r="C12" s="400">
        <f>IF($C$4="","",$C$4)</f>
      </c>
      <c r="D12" s="425"/>
      <c r="E12" s="1085"/>
      <c r="F12" s="1085"/>
      <c r="G12" s="1085"/>
      <c r="H12" s="1085"/>
      <c r="I12" s="1085"/>
      <c r="J12" s="1085"/>
      <c r="K12" s="1085"/>
      <c r="L12" s="1085"/>
      <c r="M12" s="1085"/>
      <c r="N12" s="1085"/>
      <c r="O12" s="1085"/>
      <c r="P12" s="1085"/>
      <c r="Q12" s="1085"/>
      <c r="R12" s="1085"/>
      <c r="S12" s="1085"/>
      <c r="T12" s="1085"/>
      <c r="U12" s="1085"/>
      <c r="V12" s="1085"/>
      <c r="W12" s="1085"/>
      <c r="X12" s="1085"/>
      <c r="Y12" s="1085"/>
      <c r="Z12" s="1085"/>
      <c r="AA12" s="1085"/>
      <c r="AB12" s="1085"/>
      <c r="AC12" s="1086"/>
    </row>
    <row r="13" spans="1:29" s="58" customFormat="1" ht="12">
      <c r="A13" s="56"/>
      <c r="B13" s="389"/>
      <c r="C13" s="400">
        <f>IF($C$5="","",$C$5)</f>
      </c>
      <c r="D13" s="425"/>
      <c r="E13" s="1085"/>
      <c r="F13" s="1085"/>
      <c r="G13" s="1085"/>
      <c r="H13" s="1085"/>
      <c r="I13" s="1085"/>
      <c r="J13" s="1085"/>
      <c r="K13" s="1085"/>
      <c r="L13" s="1085"/>
      <c r="M13" s="1085"/>
      <c r="N13" s="1085"/>
      <c r="O13" s="1085"/>
      <c r="P13" s="1085"/>
      <c r="Q13" s="1085"/>
      <c r="R13" s="1085"/>
      <c r="S13" s="1085"/>
      <c r="T13" s="1085"/>
      <c r="U13" s="1085"/>
      <c r="V13" s="1085"/>
      <c r="W13" s="1085"/>
      <c r="X13" s="1085"/>
      <c r="Y13" s="1085"/>
      <c r="Z13" s="1085"/>
      <c r="AA13" s="1085"/>
      <c r="AB13" s="1085"/>
      <c r="AC13" s="1086"/>
    </row>
    <row r="14" spans="1:29" s="58" customFormat="1" ht="12">
      <c r="A14" s="56"/>
      <c r="B14" s="389"/>
      <c r="C14" s="400">
        <f>IF($C$6="","",$C$6)</f>
      </c>
      <c r="D14" s="425"/>
      <c r="E14" s="1085"/>
      <c r="F14" s="1085"/>
      <c r="G14" s="1085"/>
      <c r="H14" s="1085"/>
      <c r="I14" s="1085"/>
      <c r="J14" s="1085"/>
      <c r="K14" s="1085"/>
      <c r="L14" s="1085"/>
      <c r="M14" s="1085"/>
      <c r="N14" s="1085"/>
      <c r="O14" s="1085"/>
      <c r="P14" s="1085"/>
      <c r="Q14" s="1085"/>
      <c r="R14" s="1085"/>
      <c r="S14" s="1085"/>
      <c r="T14" s="1085"/>
      <c r="U14" s="1085"/>
      <c r="V14" s="1085"/>
      <c r="W14" s="1085"/>
      <c r="X14" s="1085"/>
      <c r="Y14" s="1085"/>
      <c r="Z14" s="1085"/>
      <c r="AA14" s="1085"/>
      <c r="AB14" s="1085"/>
      <c r="AC14" s="1086"/>
    </row>
    <row r="15" spans="1:29" s="58" customFormat="1" ht="12">
      <c r="A15" s="56"/>
      <c r="B15" s="399"/>
      <c r="C15" s="401">
        <f>IF($C$7="","",$C$7)</f>
      </c>
      <c r="D15" s="426"/>
      <c r="E15" s="1087"/>
      <c r="F15" s="1087"/>
      <c r="G15" s="1087"/>
      <c r="H15" s="1087"/>
      <c r="I15" s="1087"/>
      <c r="J15" s="1087"/>
      <c r="K15" s="1087"/>
      <c r="L15" s="1087"/>
      <c r="M15" s="1087"/>
      <c r="N15" s="1087"/>
      <c r="O15" s="1087"/>
      <c r="P15" s="1087"/>
      <c r="Q15" s="1087"/>
      <c r="R15" s="1087"/>
      <c r="S15" s="1087"/>
      <c r="T15" s="1087"/>
      <c r="U15" s="1087"/>
      <c r="V15" s="1087"/>
      <c r="W15" s="1087"/>
      <c r="X15" s="1087"/>
      <c r="Y15" s="1087"/>
      <c r="Z15" s="1087"/>
      <c r="AA15" s="1087"/>
      <c r="AB15" s="1087"/>
      <c r="AC15" s="1088"/>
    </row>
    <row r="16" spans="1:29" s="58" customFormat="1" ht="12.75" thickBot="1">
      <c r="A16" s="48"/>
      <c r="B16" s="391"/>
      <c r="C16" s="392">
        <f>IF(C8="","",C8)</f>
      </c>
      <c r="D16" s="423"/>
      <c r="E16" s="393">
        <f aca="true" t="shared" si="3" ref="E16:AC16">SUM(E12:E15)</f>
        <v>0</v>
      </c>
      <c r="F16" s="393">
        <f t="shared" si="3"/>
        <v>0</v>
      </c>
      <c r="G16" s="393">
        <f t="shared" si="3"/>
        <v>0</v>
      </c>
      <c r="H16" s="393">
        <f t="shared" si="3"/>
        <v>0</v>
      </c>
      <c r="I16" s="393">
        <f t="shared" si="3"/>
        <v>0</v>
      </c>
      <c r="J16" s="393">
        <f t="shared" si="3"/>
        <v>0</v>
      </c>
      <c r="K16" s="393">
        <f t="shared" si="3"/>
        <v>0</v>
      </c>
      <c r="L16" s="393">
        <f t="shared" si="3"/>
        <v>0</v>
      </c>
      <c r="M16" s="393">
        <f t="shared" si="3"/>
        <v>0</v>
      </c>
      <c r="N16" s="393">
        <f t="shared" si="3"/>
        <v>0</v>
      </c>
      <c r="O16" s="393">
        <f t="shared" si="3"/>
        <v>0</v>
      </c>
      <c r="P16" s="393">
        <f t="shared" si="3"/>
        <v>0</v>
      </c>
      <c r="Q16" s="393">
        <f t="shared" si="3"/>
        <v>0</v>
      </c>
      <c r="R16" s="393">
        <f t="shared" si="3"/>
        <v>0</v>
      </c>
      <c r="S16" s="393">
        <f t="shared" si="3"/>
        <v>0</v>
      </c>
      <c r="T16" s="393">
        <f t="shared" si="3"/>
        <v>0</v>
      </c>
      <c r="U16" s="393">
        <f t="shared" si="3"/>
        <v>0</v>
      </c>
      <c r="V16" s="393">
        <f t="shared" si="3"/>
        <v>0</v>
      </c>
      <c r="W16" s="393">
        <f t="shared" si="3"/>
        <v>0</v>
      </c>
      <c r="X16" s="393">
        <f t="shared" si="3"/>
        <v>0</v>
      </c>
      <c r="Y16" s="393">
        <f t="shared" si="3"/>
        <v>0</v>
      </c>
      <c r="Z16" s="393">
        <f t="shared" si="3"/>
        <v>0</v>
      </c>
      <c r="AA16" s="393">
        <f t="shared" si="3"/>
        <v>0</v>
      </c>
      <c r="AB16" s="393">
        <f t="shared" si="3"/>
        <v>0</v>
      </c>
      <c r="AC16" s="394">
        <f t="shared" si="3"/>
        <v>0</v>
      </c>
    </row>
    <row r="17" spans="1:29" s="58" customFormat="1" ht="12">
      <c r="A17" s="48"/>
      <c r="B17" s="63"/>
      <c r="C17" s="68"/>
      <c r="D17" s="5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row>
    <row r="18" spans="1:29" s="58" customFormat="1" ht="12.75" thickBot="1">
      <c r="A18" s="48"/>
      <c r="B18" s="63"/>
      <c r="C18" s="68"/>
      <c r="D18" s="5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row>
    <row r="19" spans="1:29" s="58" customFormat="1" ht="12.75">
      <c r="A19" s="48"/>
      <c r="B19" s="410" t="s">
        <v>16</v>
      </c>
      <c r="C19" s="409" t="str">
        <f>C2</f>
        <v>Ostatní přínosy a náklady projektu</v>
      </c>
      <c r="D19" s="528"/>
      <c r="E19" s="1363">
        <f>'0 Úvod'!G18</f>
        <v>2014</v>
      </c>
      <c r="F19" s="1363">
        <f>E19+1</f>
        <v>2015</v>
      </c>
      <c r="G19" s="1363">
        <f>F19+1</f>
        <v>2016</v>
      </c>
      <c r="H19" s="1363">
        <f>G19+1</f>
        <v>2017</v>
      </c>
      <c r="I19" s="1363">
        <f>H19+1</f>
        <v>2018</v>
      </c>
      <c r="J19" s="1363">
        <f>I19+1</f>
        <v>2019</v>
      </c>
      <c r="K19" s="1363">
        <f>J19+1</f>
        <v>2020</v>
      </c>
      <c r="L19" s="1363">
        <f>K19+1</f>
        <v>2021</v>
      </c>
      <c r="M19" s="1363">
        <f>L19+1</f>
        <v>2022</v>
      </c>
      <c r="N19" s="1363">
        <f>M19+1</f>
        <v>2023</v>
      </c>
      <c r="O19" s="1363">
        <f>N19+1</f>
        <v>2024</v>
      </c>
      <c r="P19" s="1363">
        <f>O19+1</f>
        <v>2025</v>
      </c>
      <c r="Q19" s="1363">
        <f>P19+1</f>
        <v>2026</v>
      </c>
      <c r="R19" s="1363">
        <f>Q19+1</f>
        <v>2027</v>
      </c>
      <c r="S19" s="1363">
        <f>R19+1</f>
        <v>2028</v>
      </c>
      <c r="T19" s="1363">
        <f>S19+1</f>
        <v>2029</v>
      </c>
      <c r="U19" s="1363">
        <f>T19+1</f>
        <v>2030</v>
      </c>
      <c r="V19" s="1363">
        <f>U19+1</f>
        <v>2031</v>
      </c>
      <c r="W19" s="1363">
        <f>V19+1</f>
        <v>2032</v>
      </c>
      <c r="X19" s="1363">
        <f>W19+1</f>
        <v>2033</v>
      </c>
      <c r="Y19" s="1363">
        <f>X19+1</f>
        <v>2034</v>
      </c>
      <c r="Z19" s="1363">
        <f>Y19+1</f>
        <v>2035</v>
      </c>
      <c r="AA19" s="1363">
        <f>Z19+1</f>
        <v>2036</v>
      </c>
      <c r="AB19" s="1363">
        <f>AA19+1</f>
        <v>2037</v>
      </c>
      <c r="AC19" s="1361">
        <f>AB19+1</f>
        <v>2038</v>
      </c>
    </row>
    <row r="20" spans="1:29" s="58" customFormat="1" ht="13.5" thickBot="1">
      <c r="A20" s="48"/>
      <c r="B20" s="411" t="s">
        <v>17</v>
      </c>
      <c r="C20" s="412" t="str">
        <f>IF('0 Úvod'!$M$3="English",Slovnik!D284,Slovnik!C284)</f>
        <v>Scénář bez projektu</v>
      </c>
      <c r="D20" s="417" t="str">
        <f>D3</f>
        <v>Celkem</v>
      </c>
      <c r="E20" s="1364"/>
      <c r="F20" s="1364"/>
      <c r="G20" s="1364"/>
      <c r="H20" s="1364"/>
      <c r="I20" s="1364"/>
      <c r="J20" s="1364"/>
      <c r="K20" s="1364"/>
      <c r="L20" s="1364"/>
      <c r="M20" s="1364"/>
      <c r="N20" s="1364"/>
      <c r="O20" s="1364"/>
      <c r="P20" s="1364"/>
      <c r="Q20" s="1364"/>
      <c r="R20" s="1364"/>
      <c r="S20" s="1364"/>
      <c r="T20" s="1364"/>
      <c r="U20" s="1364"/>
      <c r="V20" s="1364"/>
      <c r="W20" s="1364"/>
      <c r="X20" s="1364"/>
      <c r="Y20" s="1364"/>
      <c r="Z20" s="1364"/>
      <c r="AA20" s="1364"/>
      <c r="AB20" s="1364"/>
      <c r="AC20" s="1362"/>
    </row>
    <row r="21" spans="1:29" s="58" customFormat="1" ht="12">
      <c r="A21" s="48"/>
      <c r="B21" s="389"/>
      <c r="C21" s="400">
        <f>IF($C$4="","",$C$4)</f>
      </c>
      <c r="D21" s="418">
        <f>SUM(E21:AC21,E29:AC29)</f>
        <v>0</v>
      </c>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30"/>
    </row>
    <row r="22" spans="1:29" s="58" customFormat="1" ht="12">
      <c r="A22" s="48"/>
      <c r="B22" s="389"/>
      <c r="C22" s="400">
        <f>IF($C$5="","",$C$5)</f>
      </c>
      <c r="D22" s="418">
        <f>SUM(E22:AC22,E30:AC30)</f>
        <v>0</v>
      </c>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30"/>
    </row>
    <row r="23" spans="1:29" s="58" customFormat="1" ht="12">
      <c r="A23" s="48"/>
      <c r="B23" s="389"/>
      <c r="C23" s="400">
        <f>IF($C$6="","",$C$6)</f>
      </c>
      <c r="D23" s="418">
        <f>SUM(E23:AC23,E31:AC31)</f>
        <v>0</v>
      </c>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30"/>
    </row>
    <row r="24" spans="1:29" s="58" customFormat="1" ht="12">
      <c r="A24" s="48"/>
      <c r="B24" s="399"/>
      <c r="C24" s="401">
        <f>IF($C$7="","",$C$7)</f>
      </c>
      <c r="D24" s="419">
        <f>SUM(E24:AC24,E32:AC32)</f>
        <v>0</v>
      </c>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5"/>
    </row>
    <row r="25" spans="1:29" s="58" customFormat="1" ht="12.75" thickBot="1">
      <c r="A25" s="48"/>
      <c r="B25" s="391"/>
      <c r="C25" s="402"/>
      <c r="D25" s="427">
        <f>SUM(E25:AC25,E33:AC33)</f>
        <v>0</v>
      </c>
      <c r="E25" s="393">
        <f>SUM(E21:E24)</f>
        <v>0</v>
      </c>
      <c r="F25" s="393">
        <f>SUM(F21:F24)</f>
        <v>0</v>
      </c>
      <c r="G25" s="393">
        <f aca="true" t="shared" si="4" ref="G25:AC25">SUM(G21:G24)</f>
        <v>0</v>
      </c>
      <c r="H25" s="393">
        <f t="shared" si="4"/>
        <v>0</v>
      </c>
      <c r="I25" s="393">
        <f t="shared" si="4"/>
        <v>0</v>
      </c>
      <c r="J25" s="393">
        <f t="shared" si="4"/>
        <v>0</v>
      </c>
      <c r="K25" s="393">
        <f t="shared" si="4"/>
        <v>0</v>
      </c>
      <c r="L25" s="393">
        <f t="shared" si="4"/>
        <v>0</v>
      </c>
      <c r="M25" s="393">
        <f t="shared" si="4"/>
        <v>0</v>
      </c>
      <c r="N25" s="393">
        <f t="shared" si="4"/>
        <v>0</v>
      </c>
      <c r="O25" s="393">
        <f t="shared" si="4"/>
        <v>0</v>
      </c>
      <c r="P25" s="393">
        <f t="shared" si="4"/>
        <v>0</v>
      </c>
      <c r="Q25" s="393">
        <f t="shared" si="4"/>
        <v>0</v>
      </c>
      <c r="R25" s="393">
        <f t="shared" si="4"/>
        <v>0</v>
      </c>
      <c r="S25" s="393">
        <f t="shared" si="4"/>
        <v>0</v>
      </c>
      <c r="T25" s="393">
        <f t="shared" si="4"/>
        <v>0</v>
      </c>
      <c r="U25" s="393">
        <f t="shared" si="4"/>
        <v>0</v>
      </c>
      <c r="V25" s="393">
        <f t="shared" si="4"/>
        <v>0</v>
      </c>
      <c r="W25" s="393">
        <f t="shared" si="4"/>
        <v>0</v>
      </c>
      <c r="X25" s="393">
        <f t="shared" si="4"/>
        <v>0</v>
      </c>
      <c r="Y25" s="393">
        <f t="shared" si="4"/>
        <v>0</v>
      </c>
      <c r="Z25" s="393">
        <f t="shared" si="4"/>
        <v>0</v>
      </c>
      <c r="AA25" s="393">
        <f t="shared" si="4"/>
        <v>0</v>
      </c>
      <c r="AB25" s="393">
        <f t="shared" si="4"/>
        <v>0</v>
      </c>
      <c r="AC25" s="394">
        <f t="shared" si="4"/>
        <v>0</v>
      </c>
    </row>
    <row r="26" spans="1:29" s="58" customFormat="1" ht="12" thickBot="1">
      <c r="A26" s="48"/>
      <c r="B26" s="61"/>
      <c r="C26" s="56"/>
      <c r="D26" s="73"/>
      <c r="E26" s="57"/>
      <c r="F26" s="57"/>
      <c r="G26" s="57"/>
      <c r="H26" s="57"/>
      <c r="I26" s="57"/>
      <c r="J26" s="57"/>
      <c r="K26" s="57"/>
      <c r="L26" s="57"/>
      <c r="M26" s="57"/>
      <c r="N26" s="57"/>
      <c r="O26" s="57"/>
      <c r="P26" s="57"/>
      <c r="Q26" s="57"/>
      <c r="R26" s="57"/>
      <c r="S26" s="57"/>
      <c r="T26" s="57"/>
      <c r="U26" s="57"/>
      <c r="V26" s="57"/>
      <c r="W26" s="57"/>
      <c r="X26" s="57"/>
      <c r="Y26" s="57"/>
      <c r="Z26" s="57"/>
      <c r="AA26" s="57"/>
      <c r="AB26" s="57"/>
      <c r="AC26" s="57"/>
    </row>
    <row r="27" spans="1:29" s="58" customFormat="1" ht="12.75">
      <c r="A27" s="48"/>
      <c r="B27" s="410" t="s">
        <v>16</v>
      </c>
      <c r="C27" s="409" t="str">
        <f>C19</f>
        <v>Ostatní přínosy a náklady projektu</v>
      </c>
      <c r="D27" s="528"/>
      <c r="E27" s="1363">
        <f>AC19+1</f>
        <v>2039</v>
      </c>
      <c r="F27" s="1363">
        <f>E27+1</f>
        <v>2040</v>
      </c>
      <c r="G27" s="1363">
        <f>F27+1</f>
        <v>2041</v>
      </c>
      <c r="H27" s="1363">
        <f>G27+1</f>
        <v>2042</v>
      </c>
      <c r="I27" s="1363">
        <f>H27+1</f>
        <v>2043</v>
      </c>
      <c r="J27" s="1363">
        <f>I27+1</f>
        <v>2044</v>
      </c>
      <c r="K27" s="1363">
        <f>J27+1</f>
        <v>2045</v>
      </c>
      <c r="L27" s="1363">
        <f>K27+1</f>
        <v>2046</v>
      </c>
      <c r="M27" s="1363">
        <f>L27+1</f>
        <v>2047</v>
      </c>
      <c r="N27" s="1363">
        <f>M27+1</f>
        <v>2048</v>
      </c>
      <c r="O27" s="1363">
        <f>N27+1</f>
        <v>2049</v>
      </c>
      <c r="P27" s="1363">
        <f>O27+1</f>
        <v>2050</v>
      </c>
      <c r="Q27" s="1363">
        <f>P27+1</f>
        <v>2051</v>
      </c>
      <c r="R27" s="1363">
        <f>Q27+1</f>
        <v>2052</v>
      </c>
      <c r="S27" s="1363">
        <f>R27+1</f>
        <v>2053</v>
      </c>
      <c r="T27" s="1363">
        <f>S27+1</f>
        <v>2054</v>
      </c>
      <c r="U27" s="1363">
        <f>T27+1</f>
        <v>2055</v>
      </c>
      <c r="V27" s="1363">
        <f>U27+1</f>
        <v>2056</v>
      </c>
      <c r="W27" s="1363">
        <f>V27+1</f>
        <v>2057</v>
      </c>
      <c r="X27" s="1363">
        <f>W27+1</f>
        <v>2058</v>
      </c>
      <c r="Y27" s="1363">
        <f>X27+1</f>
        <v>2059</v>
      </c>
      <c r="Z27" s="1363">
        <f>Y27+1</f>
        <v>2060</v>
      </c>
      <c r="AA27" s="1363">
        <f>Z27+1</f>
        <v>2061</v>
      </c>
      <c r="AB27" s="1363">
        <f>AA27+1</f>
        <v>2062</v>
      </c>
      <c r="AC27" s="1361">
        <f>AB27+1</f>
        <v>2063</v>
      </c>
    </row>
    <row r="28" spans="1:29" s="58" customFormat="1" ht="13.5" thickBot="1">
      <c r="A28" s="48"/>
      <c r="B28" s="411" t="s">
        <v>19</v>
      </c>
      <c r="C28" s="413" t="str">
        <f>C20</f>
        <v>Scénář bez projektu</v>
      </c>
      <c r="D28" s="424"/>
      <c r="E28" s="1364"/>
      <c r="F28" s="1364"/>
      <c r="G28" s="1364"/>
      <c r="H28" s="1364"/>
      <c r="I28" s="1364"/>
      <c r="J28" s="1364"/>
      <c r="K28" s="1364"/>
      <c r="L28" s="1364"/>
      <c r="M28" s="1364"/>
      <c r="N28" s="1364"/>
      <c r="O28" s="1364"/>
      <c r="P28" s="1364"/>
      <c r="Q28" s="1364"/>
      <c r="R28" s="1364"/>
      <c r="S28" s="1364"/>
      <c r="T28" s="1364"/>
      <c r="U28" s="1364"/>
      <c r="V28" s="1364"/>
      <c r="W28" s="1364"/>
      <c r="X28" s="1364"/>
      <c r="Y28" s="1364"/>
      <c r="Z28" s="1364"/>
      <c r="AA28" s="1364"/>
      <c r="AB28" s="1364"/>
      <c r="AC28" s="1362"/>
    </row>
    <row r="29" spans="1:29" s="58" customFormat="1" ht="12">
      <c r="A29" s="48"/>
      <c r="B29" s="389"/>
      <c r="C29" s="400">
        <f>IF($C$4="","",$C$4)</f>
      </c>
      <c r="D29" s="425"/>
      <c r="E29" s="1085"/>
      <c r="F29" s="1085"/>
      <c r="G29" s="1085"/>
      <c r="H29" s="1085"/>
      <c r="I29" s="1085"/>
      <c r="J29" s="1085"/>
      <c r="K29" s="1085"/>
      <c r="L29" s="1085"/>
      <c r="M29" s="1085"/>
      <c r="N29" s="1085"/>
      <c r="O29" s="1085"/>
      <c r="P29" s="1085"/>
      <c r="Q29" s="1085"/>
      <c r="R29" s="1085"/>
      <c r="S29" s="1085"/>
      <c r="T29" s="1085"/>
      <c r="U29" s="1085"/>
      <c r="V29" s="1085"/>
      <c r="W29" s="1085"/>
      <c r="X29" s="1085"/>
      <c r="Y29" s="1085"/>
      <c r="Z29" s="1085"/>
      <c r="AA29" s="1085"/>
      <c r="AB29" s="1085"/>
      <c r="AC29" s="1086"/>
    </row>
    <row r="30" spans="1:29" s="58" customFormat="1" ht="12">
      <c r="A30" s="48"/>
      <c r="B30" s="389"/>
      <c r="C30" s="400">
        <f>IF($C$5="","",$C$5)</f>
      </c>
      <c r="D30" s="425"/>
      <c r="E30" s="1085"/>
      <c r="F30" s="1085"/>
      <c r="G30" s="1085"/>
      <c r="H30" s="1085"/>
      <c r="I30" s="1085"/>
      <c r="J30" s="1085"/>
      <c r="K30" s="1085"/>
      <c r="L30" s="1085"/>
      <c r="M30" s="1085"/>
      <c r="N30" s="1085"/>
      <c r="O30" s="1085"/>
      <c r="P30" s="1085"/>
      <c r="Q30" s="1085"/>
      <c r="R30" s="1085"/>
      <c r="S30" s="1085"/>
      <c r="T30" s="1085"/>
      <c r="U30" s="1085"/>
      <c r="V30" s="1085"/>
      <c r="W30" s="1085"/>
      <c r="X30" s="1085"/>
      <c r="Y30" s="1085"/>
      <c r="Z30" s="1085"/>
      <c r="AA30" s="1085"/>
      <c r="AB30" s="1085"/>
      <c r="AC30" s="1086"/>
    </row>
    <row r="31" spans="1:29" s="58" customFormat="1" ht="12">
      <c r="A31" s="48"/>
      <c r="B31" s="389"/>
      <c r="C31" s="400">
        <f>IF($C$6="","",$C$6)</f>
      </c>
      <c r="D31" s="425"/>
      <c r="E31" s="1085"/>
      <c r="F31" s="1085"/>
      <c r="G31" s="1085"/>
      <c r="H31" s="1085"/>
      <c r="I31" s="1085"/>
      <c r="J31" s="1085"/>
      <c r="K31" s="1085"/>
      <c r="L31" s="1085"/>
      <c r="M31" s="1085"/>
      <c r="N31" s="1085"/>
      <c r="O31" s="1085"/>
      <c r="P31" s="1085"/>
      <c r="Q31" s="1085"/>
      <c r="R31" s="1085"/>
      <c r="S31" s="1085"/>
      <c r="T31" s="1085"/>
      <c r="U31" s="1085"/>
      <c r="V31" s="1085"/>
      <c r="W31" s="1085"/>
      <c r="X31" s="1085"/>
      <c r="Y31" s="1085"/>
      <c r="Z31" s="1085"/>
      <c r="AA31" s="1085"/>
      <c r="AB31" s="1085"/>
      <c r="AC31" s="1086"/>
    </row>
    <row r="32" spans="1:29" s="58" customFormat="1" ht="12">
      <c r="A32" s="48"/>
      <c r="B32" s="399"/>
      <c r="C32" s="401">
        <f>IF($C$7="","",$C$7)</f>
      </c>
      <c r="D32" s="426"/>
      <c r="E32" s="1087"/>
      <c r="F32" s="1087"/>
      <c r="G32" s="1087"/>
      <c r="H32" s="1087"/>
      <c r="I32" s="1087"/>
      <c r="J32" s="1087"/>
      <c r="K32" s="1087"/>
      <c r="L32" s="1087"/>
      <c r="M32" s="1087"/>
      <c r="N32" s="1087"/>
      <c r="O32" s="1087"/>
      <c r="P32" s="1087"/>
      <c r="Q32" s="1087"/>
      <c r="R32" s="1087"/>
      <c r="S32" s="1087"/>
      <c r="T32" s="1087"/>
      <c r="U32" s="1087"/>
      <c r="V32" s="1087"/>
      <c r="W32" s="1087"/>
      <c r="X32" s="1087"/>
      <c r="Y32" s="1087"/>
      <c r="Z32" s="1087"/>
      <c r="AA32" s="1087"/>
      <c r="AB32" s="1087"/>
      <c r="AC32" s="1088"/>
    </row>
    <row r="33" spans="1:29" s="58" customFormat="1" ht="12.75" thickBot="1">
      <c r="A33" s="48"/>
      <c r="B33" s="391"/>
      <c r="C33" s="392">
        <f>IF(C25="","",C25)</f>
      </c>
      <c r="D33" s="423"/>
      <c r="E33" s="393">
        <f aca="true" t="shared" si="5" ref="E33:AC33">SUM(E29:E32)</f>
        <v>0</v>
      </c>
      <c r="F33" s="393">
        <f t="shared" si="5"/>
        <v>0</v>
      </c>
      <c r="G33" s="393">
        <f t="shared" si="5"/>
        <v>0</v>
      </c>
      <c r="H33" s="393">
        <f t="shared" si="5"/>
        <v>0</v>
      </c>
      <c r="I33" s="393">
        <f t="shared" si="5"/>
        <v>0</v>
      </c>
      <c r="J33" s="393">
        <f t="shared" si="5"/>
        <v>0</v>
      </c>
      <c r="K33" s="393">
        <f t="shared" si="5"/>
        <v>0</v>
      </c>
      <c r="L33" s="393">
        <f t="shared" si="5"/>
        <v>0</v>
      </c>
      <c r="M33" s="393">
        <f t="shared" si="5"/>
        <v>0</v>
      </c>
      <c r="N33" s="393">
        <f t="shared" si="5"/>
        <v>0</v>
      </c>
      <c r="O33" s="393">
        <f t="shared" si="5"/>
        <v>0</v>
      </c>
      <c r="P33" s="393">
        <f t="shared" si="5"/>
        <v>0</v>
      </c>
      <c r="Q33" s="393">
        <f t="shared" si="5"/>
        <v>0</v>
      </c>
      <c r="R33" s="393">
        <f t="shared" si="5"/>
        <v>0</v>
      </c>
      <c r="S33" s="393">
        <f t="shared" si="5"/>
        <v>0</v>
      </c>
      <c r="T33" s="393">
        <f t="shared" si="5"/>
        <v>0</v>
      </c>
      <c r="U33" s="393">
        <f t="shared" si="5"/>
        <v>0</v>
      </c>
      <c r="V33" s="393">
        <f t="shared" si="5"/>
        <v>0</v>
      </c>
      <c r="W33" s="393">
        <f t="shared" si="5"/>
        <v>0</v>
      </c>
      <c r="X33" s="393">
        <f t="shared" si="5"/>
        <v>0</v>
      </c>
      <c r="Y33" s="393">
        <f t="shared" si="5"/>
        <v>0</v>
      </c>
      <c r="Z33" s="393">
        <f t="shared" si="5"/>
        <v>0</v>
      </c>
      <c r="AA33" s="393">
        <f t="shared" si="5"/>
        <v>0</v>
      </c>
      <c r="AB33" s="393">
        <f t="shared" si="5"/>
        <v>0</v>
      </c>
      <c r="AC33" s="394">
        <f t="shared" si="5"/>
        <v>0</v>
      </c>
    </row>
    <row r="34" spans="1:29" s="58" customFormat="1" ht="12">
      <c r="A34" s="48"/>
      <c r="B34" s="63"/>
      <c r="C34" s="68"/>
      <c r="D34" s="5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1:29" s="58" customFormat="1" ht="12" thickBot="1">
      <c r="A35" s="56"/>
      <c r="B35" s="63"/>
      <c r="C35" s="74"/>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row>
    <row r="36" spans="2:29" s="58" customFormat="1" ht="12.75" customHeight="1">
      <c r="B36" s="410" t="s">
        <v>38</v>
      </c>
      <c r="C36" s="409" t="str">
        <f>C2</f>
        <v>Ostatní přínosy a náklady projektu</v>
      </c>
      <c r="D36" s="528"/>
      <c r="E36" s="1363">
        <f>E2</f>
        <v>2014</v>
      </c>
      <c r="F36" s="1363">
        <f aca="true" t="shared" si="6" ref="F36:AC36">E36+1</f>
        <v>2015</v>
      </c>
      <c r="G36" s="1363">
        <f t="shared" si="6"/>
        <v>2016</v>
      </c>
      <c r="H36" s="1363">
        <f t="shared" si="6"/>
        <v>2017</v>
      </c>
      <c r="I36" s="1363">
        <f t="shared" si="6"/>
        <v>2018</v>
      </c>
      <c r="J36" s="1363">
        <f t="shared" si="6"/>
        <v>2019</v>
      </c>
      <c r="K36" s="1363">
        <f t="shared" si="6"/>
        <v>2020</v>
      </c>
      <c r="L36" s="1363">
        <f t="shared" si="6"/>
        <v>2021</v>
      </c>
      <c r="M36" s="1363">
        <f t="shared" si="6"/>
        <v>2022</v>
      </c>
      <c r="N36" s="1363">
        <f t="shared" si="6"/>
        <v>2023</v>
      </c>
      <c r="O36" s="1363">
        <f t="shared" si="6"/>
        <v>2024</v>
      </c>
      <c r="P36" s="1363">
        <f t="shared" si="6"/>
        <v>2025</v>
      </c>
      <c r="Q36" s="1363">
        <f t="shared" si="6"/>
        <v>2026</v>
      </c>
      <c r="R36" s="1363">
        <f t="shared" si="6"/>
        <v>2027</v>
      </c>
      <c r="S36" s="1363">
        <f t="shared" si="6"/>
        <v>2028</v>
      </c>
      <c r="T36" s="1363">
        <f t="shared" si="6"/>
        <v>2029</v>
      </c>
      <c r="U36" s="1363">
        <f t="shared" si="6"/>
        <v>2030</v>
      </c>
      <c r="V36" s="1363">
        <f t="shared" si="6"/>
        <v>2031</v>
      </c>
      <c r="W36" s="1363">
        <f t="shared" si="6"/>
        <v>2032</v>
      </c>
      <c r="X36" s="1363">
        <f t="shared" si="6"/>
        <v>2033</v>
      </c>
      <c r="Y36" s="1363">
        <f t="shared" si="6"/>
        <v>2034</v>
      </c>
      <c r="Z36" s="1363">
        <f t="shared" si="6"/>
        <v>2035</v>
      </c>
      <c r="AA36" s="1363">
        <f t="shared" si="6"/>
        <v>2036</v>
      </c>
      <c r="AB36" s="1363">
        <f t="shared" si="6"/>
        <v>2037</v>
      </c>
      <c r="AC36" s="1361">
        <f t="shared" si="6"/>
        <v>2038</v>
      </c>
    </row>
    <row r="37" spans="1:29" s="58" customFormat="1" ht="12.75" customHeight="1" thickBot="1">
      <c r="A37" s="66"/>
      <c r="B37" s="411" t="s">
        <v>17</v>
      </c>
      <c r="C37" s="439" t="str">
        <f>IF('0 Úvod'!$M$3="English",Slovnik!D285,Slovnik!C285)</f>
        <v>Přírůstkové cash-flow</v>
      </c>
      <c r="D37" s="417" t="str">
        <f>D3</f>
        <v>Celkem</v>
      </c>
      <c r="E37" s="1364"/>
      <c r="F37" s="1364"/>
      <c r="G37" s="1364"/>
      <c r="H37" s="1364"/>
      <c r="I37" s="1364"/>
      <c r="J37" s="1364"/>
      <c r="K37" s="1364"/>
      <c r="L37" s="1364"/>
      <c r="M37" s="1364"/>
      <c r="N37" s="1364"/>
      <c r="O37" s="1364"/>
      <c r="P37" s="1364"/>
      <c r="Q37" s="1364"/>
      <c r="R37" s="1364"/>
      <c r="S37" s="1364"/>
      <c r="T37" s="1364"/>
      <c r="U37" s="1364"/>
      <c r="V37" s="1364"/>
      <c r="W37" s="1364"/>
      <c r="X37" s="1364"/>
      <c r="Y37" s="1364"/>
      <c r="Z37" s="1364"/>
      <c r="AA37" s="1364"/>
      <c r="AB37" s="1364"/>
      <c r="AC37" s="1362"/>
    </row>
    <row r="38" spans="1:29" s="58" customFormat="1" ht="12.75" customHeight="1">
      <c r="A38" s="66"/>
      <c r="B38" s="389"/>
      <c r="C38" s="400">
        <f>IF($C$4="","",$C$4)</f>
      </c>
      <c r="D38" s="418">
        <f>SUM(E38:AC38,E46:AC46)</f>
        <v>0</v>
      </c>
      <c r="E38" s="75">
        <f>E4-E21</f>
        <v>0</v>
      </c>
      <c r="F38" s="75">
        <f aca="true" t="shared" si="7" ref="F38:AC41">F4-F21</f>
        <v>0</v>
      </c>
      <c r="G38" s="75">
        <f t="shared" si="7"/>
        <v>0</v>
      </c>
      <c r="H38" s="75">
        <f t="shared" si="7"/>
        <v>0</v>
      </c>
      <c r="I38" s="75">
        <f t="shared" si="7"/>
        <v>0</v>
      </c>
      <c r="J38" s="75">
        <f t="shared" si="7"/>
        <v>0</v>
      </c>
      <c r="K38" s="75">
        <f t="shared" si="7"/>
        <v>0</v>
      </c>
      <c r="L38" s="75">
        <f t="shared" si="7"/>
        <v>0</v>
      </c>
      <c r="M38" s="75">
        <f t="shared" si="7"/>
        <v>0</v>
      </c>
      <c r="N38" s="75">
        <f t="shared" si="7"/>
        <v>0</v>
      </c>
      <c r="O38" s="75">
        <f t="shared" si="7"/>
        <v>0</v>
      </c>
      <c r="P38" s="75">
        <f t="shared" si="7"/>
        <v>0</v>
      </c>
      <c r="Q38" s="75">
        <f t="shared" si="7"/>
        <v>0</v>
      </c>
      <c r="R38" s="75">
        <f t="shared" si="7"/>
        <v>0</v>
      </c>
      <c r="S38" s="75">
        <f t="shared" si="7"/>
        <v>0</v>
      </c>
      <c r="T38" s="75">
        <f t="shared" si="7"/>
        <v>0</v>
      </c>
      <c r="U38" s="75">
        <f t="shared" si="7"/>
        <v>0</v>
      </c>
      <c r="V38" s="75">
        <f t="shared" si="7"/>
        <v>0</v>
      </c>
      <c r="W38" s="75">
        <f t="shared" si="7"/>
        <v>0</v>
      </c>
      <c r="X38" s="75">
        <f t="shared" si="7"/>
        <v>0</v>
      </c>
      <c r="Y38" s="75">
        <f t="shared" si="7"/>
        <v>0</v>
      </c>
      <c r="Z38" s="75">
        <f t="shared" si="7"/>
        <v>0</v>
      </c>
      <c r="AA38" s="75">
        <f t="shared" si="7"/>
        <v>0</v>
      </c>
      <c r="AB38" s="75">
        <f t="shared" si="7"/>
        <v>0</v>
      </c>
      <c r="AC38" s="390">
        <f t="shared" si="7"/>
        <v>0</v>
      </c>
    </row>
    <row r="39" spans="1:29" s="58" customFormat="1" ht="12.75" customHeight="1">
      <c r="A39" s="66"/>
      <c r="B39" s="389"/>
      <c r="C39" s="400">
        <f>IF($C$5="","",$C$5)</f>
      </c>
      <c r="D39" s="418">
        <f>SUM(E39:AC39,E47:AC47)</f>
        <v>0</v>
      </c>
      <c r="E39" s="75">
        <f>E5-E22</f>
        <v>0</v>
      </c>
      <c r="F39" s="75">
        <f>F5-F22</f>
        <v>0</v>
      </c>
      <c r="G39" s="75">
        <f>G5-G22</f>
        <v>0</v>
      </c>
      <c r="H39" s="75">
        <f>H5-H22</f>
        <v>0</v>
      </c>
      <c r="I39" s="75">
        <f>I5-I22</f>
        <v>0</v>
      </c>
      <c r="J39" s="75">
        <f>J5-J22</f>
        <v>0</v>
      </c>
      <c r="K39" s="75">
        <f>K5-K22</f>
        <v>0</v>
      </c>
      <c r="L39" s="75">
        <f>L5-L22</f>
        <v>0</v>
      </c>
      <c r="M39" s="75">
        <f>M5-M22</f>
        <v>0</v>
      </c>
      <c r="N39" s="75">
        <f>N5-N22</f>
        <v>0</v>
      </c>
      <c r="O39" s="75">
        <f>O5-O22</f>
        <v>0</v>
      </c>
      <c r="P39" s="75">
        <f>P5-P22</f>
        <v>0</v>
      </c>
      <c r="Q39" s="75">
        <f>Q5-Q22</f>
        <v>0</v>
      </c>
      <c r="R39" s="75">
        <f>R5-R22</f>
        <v>0</v>
      </c>
      <c r="S39" s="75">
        <f>S5-S22</f>
        <v>0</v>
      </c>
      <c r="T39" s="75">
        <f>T5-T22</f>
        <v>0</v>
      </c>
      <c r="U39" s="75">
        <f t="shared" si="7"/>
        <v>0</v>
      </c>
      <c r="V39" s="75">
        <f t="shared" si="7"/>
        <v>0</v>
      </c>
      <c r="W39" s="75">
        <f t="shared" si="7"/>
        <v>0</v>
      </c>
      <c r="X39" s="75">
        <f t="shared" si="7"/>
        <v>0</v>
      </c>
      <c r="Y39" s="75">
        <f t="shared" si="7"/>
        <v>0</v>
      </c>
      <c r="Z39" s="75">
        <f t="shared" si="7"/>
        <v>0</v>
      </c>
      <c r="AA39" s="75">
        <f t="shared" si="7"/>
        <v>0</v>
      </c>
      <c r="AB39" s="75">
        <f t="shared" si="7"/>
        <v>0</v>
      </c>
      <c r="AC39" s="390">
        <f t="shared" si="7"/>
        <v>0</v>
      </c>
    </row>
    <row r="40" spans="1:29" s="58" customFormat="1" ht="12.75" customHeight="1">
      <c r="A40" s="66"/>
      <c r="B40" s="389"/>
      <c r="C40" s="400">
        <f>IF($C$6="","",$C$6)</f>
      </c>
      <c r="D40" s="418">
        <f>SUM(E40:AC40,E48:AC48)</f>
        <v>0</v>
      </c>
      <c r="E40" s="75">
        <f>E6-E23</f>
        <v>0</v>
      </c>
      <c r="F40" s="75">
        <f t="shared" si="7"/>
        <v>0</v>
      </c>
      <c r="G40" s="75">
        <f t="shared" si="7"/>
        <v>0</v>
      </c>
      <c r="H40" s="75">
        <f t="shared" si="7"/>
        <v>0</v>
      </c>
      <c r="I40" s="75">
        <f t="shared" si="7"/>
        <v>0</v>
      </c>
      <c r="J40" s="75">
        <f t="shared" si="7"/>
        <v>0</v>
      </c>
      <c r="K40" s="75">
        <f t="shared" si="7"/>
        <v>0</v>
      </c>
      <c r="L40" s="75">
        <f t="shared" si="7"/>
        <v>0</v>
      </c>
      <c r="M40" s="75">
        <f t="shared" si="7"/>
        <v>0</v>
      </c>
      <c r="N40" s="75">
        <f t="shared" si="7"/>
        <v>0</v>
      </c>
      <c r="O40" s="75">
        <f t="shared" si="7"/>
        <v>0</v>
      </c>
      <c r="P40" s="75">
        <f t="shared" si="7"/>
        <v>0</v>
      </c>
      <c r="Q40" s="75">
        <f t="shared" si="7"/>
        <v>0</v>
      </c>
      <c r="R40" s="75">
        <f t="shared" si="7"/>
        <v>0</v>
      </c>
      <c r="S40" s="75">
        <f t="shared" si="7"/>
        <v>0</v>
      </c>
      <c r="T40" s="75">
        <f t="shared" si="7"/>
        <v>0</v>
      </c>
      <c r="U40" s="75">
        <f t="shared" si="7"/>
        <v>0</v>
      </c>
      <c r="V40" s="75">
        <f t="shared" si="7"/>
        <v>0</v>
      </c>
      <c r="W40" s="75">
        <f t="shared" si="7"/>
        <v>0</v>
      </c>
      <c r="X40" s="75">
        <f t="shared" si="7"/>
        <v>0</v>
      </c>
      <c r="Y40" s="75">
        <f t="shared" si="7"/>
        <v>0</v>
      </c>
      <c r="Z40" s="75">
        <f t="shared" si="7"/>
        <v>0</v>
      </c>
      <c r="AA40" s="75">
        <f t="shared" si="7"/>
        <v>0</v>
      </c>
      <c r="AB40" s="75">
        <f t="shared" si="7"/>
        <v>0</v>
      </c>
      <c r="AC40" s="390">
        <f t="shared" si="7"/>
        <v>0</v>
      </c>
    </row>
    <row r="41" spans="1:29" s="58" customFormat="1" ht="12.75" customHeight="1">
      <c r="A41" s="66"/>
      <c r="B41" s="399"/>
      <c r="C41" s="401">
        <f>IF($C$7="","",$C$7)</f>
      </c>
      <c r="D41" s="419">
        <f>SUM(E41:AC41,E49:AC49)</f>
        <v>0</v>
      </c>
      <c r="E41" s="397">
        <f>E7-E24</f>
        <v>0</v>
      </c>
      <c r="F41" s="397">
        <f t="shared" si="7"/>
        <v>0</v>
      </c>
      <c r="G41" s="397">
        <f t="shared" si="7"/>
        <v>0</v>
      </c>
      <c r="H41" s="397">
        <f t="shared" si="7"/>
        <v>0</v>
      </c>
      <c r="I41" s="397">
        <f t="shared" si="7"/>
        <v>0</v>
      </c>
      <c r="J41" s="397">
        <f t="shared" si="7"/>
        <v>0</v>
      </c>
      <c r="K41" s="397">
        <f t="shared" si="7"/>
        <v>0</v>
      </c>
      <c r="L41" s="397">
        <f t="shared" si="7"/>
        <v>0</v>
      </c>
      <c r="M41" s="397">
        <f t="shared" si="7"/>
        <v>0</v>
      </c>
      <c r="N41" s="397">
        <f t="shared" si="7"/>
        <v>0</v>
      </c>
      <c r="O41" s="397">
        <f t="shared" si="7"/>
        <v>0</v>
      </c>
      <c r="P41" s="397">
        <f t="shared" si="7"/>
        <v>0</v>
      </c>
      <c r="Q41" s="397">
        <f t="shared" si="7"/>
        <v>0</v>
      </c>
      <c r="R41" s="397">
        <f t="shared" si="7"/>
        <v>0</v>
      </c>
      <c r="S41" s="397">
        <f t="shared" si="7"/>
        <v>0</v>
      </c>
      <c r="T41" s="397">
        <f t="shared" si="7"/>
        <v>0</v>
      </c>
      <c r="U41" s="397">
        <f t="shared" si="7"/>
        <v>0</v>
      </c>
      <c r="V41" s="397">
        <f t="shared" si="7"/>
        <v>0</v>
      </c>
      <c r="W41" s="397">
        <f t="shared" si="7"/>
        <v>0</v>
      </c>
      <c r="X41" s="397">
        <f t="shared" si="7"/>
        <v>0</v>
      </c>
      <c r="Y41" s="397">
        <f t="shared" si="7"/>
        <v>0</v>
      </c>
      <c r="Z41" s="397">
        <f t="shared" si="7"/>
        <v>0</v>
      </c>
      <c r="AA41" s="397">
        <f t="shared" si="7"/>
        <v>0</v>
      </c>
      <c r="AB41" s="397">
        <f t="shared" si="7"/>
        <v>0</v>
      </c>
      <c r="AC41" s="398">
        <f t="shared" si="7"/>
        <v>0</v>
      </c>
    </row>
    <row r="42" spans="1:29" s="58" customFormat="1" ht="12.75" thickBot="1">
      <c r="A42" s="56"/>
      <c r="B42" s="391"/>
      <c r="C42" s="402">
        <f>IF(C8="","",C8)</f>
      </c>
      <c r="D42" s="427">
        <f>SUM(E42:AC42,E50:AC50)</f>
        <v>0</v>
      </c>
      <c r="E42" s="393">
        <f>SUM(E38:E41)</f>
        <v>0</v>
      </c>
      <c r="F42" s="393">
        <f aca="true" t="shared" si="8" ref="F42:AC42">SUM(F38:F41)</f>
        <v>0</v>
      </c>
      <c r="G42" s="393">
        <f t="shared" si="8"/>
        <v>0</v>
      </c>
      <c r="H42" s="393">
        <f t="shared" si="8"/>
        <v>0</v>
      </c>
      <c r="I42" s="393">
        <f t="shared" si="8"/>
        <v>0</v>
      </c>
      <c r="J42" s="393">
        <f t="shared" si="8"/>
        <v>0</v>
      </c>
      <c r="K42" s="393">
        <f t="shared" si="8"/>
        <v>0</v>
      </c>
      <c r="L42" s="393">
        <f t="shared" si="8"/>
        <v>0</v>
      </c>
      <c r="M42" s="393">
        <f t="shared" si="8"/>
        <v>0</v>
      </c>
      <c r="N42" s="393">
        <f t="shared" si="8"/>
        <v>0</v>
      </c>
      <c r="O42" s="393">
        <f t="shared" si="8"/>
        <v>0</v>
      </c>
      <c r="P42" s="393">
        <f t="shared" si="8"/>
        <v>0</v>
      </c>
      <c r="Q42" s="393">
        <f t="shared" si="8"/>
        <v>0</v>
      </c>
      <c r="R42" s="393">
        <f t="shared" si="8"/>
        <v>0</v>
      </c>
      <c r="S42" s="393">
        <f t="shared" si="8"/>
        <v>0</v>
      </c>
      <c r="T42" s="393">
        <f t="shared" si="8"/>
        <v>0</v>
      </c>
      <c r="U42" s="393">
        <f t="shared" si="8"/>
        <v>0</v>
      </c>
      <c r="V42" s="393">
        <f t="shared" si="8"/>
        <v>0</v>
      </c>
      <c r="W42" s="393">
        <f t="shared" si="8"/>
        <v>0</v>
      </c>
      <c r="X42" s="393">
        <f t="shared" si="8"/>
        <v>0</v>
      </c>
      <c r="Y42" s="393">
        <f t="shared" si="8"/>
        <v>0</v>
      </c>
      <c r="Z42" s="393">
        <f t="shared" si="8"/>
        <v>0</v>
      </c>
      <c r="AA42" s="393">
        <f t="shared" si="8"/>
        <v>0</v>
      </c>
      <c r="AB42" s="393">
        <f t="shared" si="8"/>
        <v>0</v>
      </c>
      <c r="AC42" s="394">
        <f t="shared" si="8"/>
        <v>0</v>
      </c>
    </row>
    <row r="43" spans="1:29" s="58" customFormat="1" ht="12" thickBot="1">
      <c r="A43" s="56"/>
      <c r="B43" s="76"/>
      <c r="C43" s="45"/>
      <c r="D43" s="64"/>
      <c r="E43" s="77"/>
      <c r="F43" s="77"/>
      <c r="G43" s="77"/>
      <c r="H43" s="77"/>
      <c r="I43" s="77"/>
      <c r="J43" s="77"/>
      <c r="K43" s="77"/>
      <c r="L43" s="77"/>
      <c r="M43" s="77"/>
      <c r="N43" s="77"/>
      <c r="O43" s="77"/>
      <c r="P43" s="77"/>
      <c r="Q43" s="77"/>
      <c r="R43" s="77"/>
      <c r="S43" s="77"/>
      <c r="T43" s="77"/>
      <c r="U43" s="77"/>
      <c r="V43" s="77"/>
      <c r="W43" s="77"/>
      <c r="X43" s="77"/>
      <c r="Y43" s="77"/>
      <c r="Z43" s="77"/>
      <c r="AA43" s="77"/>
      <c r="AB43" s="77"/>
      <c r="AC43" s="77"/>
    </row>
    <row r="44" spans="2:29" s="58" customFormat="1" ht="12.75" customHeight="1">
      <c r="B44" s="410" t="s">
        <v>38</v>
      </c>
      <c r="C44" s="409" t="str">
        <f>C2</f>
        <v>Ostatní přínosy a náklady projektu</v>
      </c>
      <c r="D44" s="528"/>
      <c r="E44" s="1363">
        <f>AC36+1</f>
        <v>2039</v>
      </c>
      <c r="F44" s="1363">
        <f aca="true" t="shared" si="9" ref="F44:AC44">E44+1</f>
        <v>2040</v>
      </c>
      <c r="G44" s="1363">
        <f t="shared" si="9"/>
        <v>2041</v>
      </c>
      <c r="H44" s="1363">
        <f t="shared" si="9"/>
        <v>2042</v>
      </c>
      <c r="I44" s="1363">
        <f t="shared" si="9"/>
        <v>2043</v>
      </c>
      <c r="J44" s="1363">
        <f t="shared" si="9"/>
        <v>2044</v>
      </c>
      <c r="K44" s="1363">
        <f t="shared" si="9"/>
        <v>2045</v>
      </c>
      <c r="L44" s="1363">
        <f t="shared" si="9"/>
        <v>2046</v>
      </c>
      <c r="M44" s="1363">
        <f t="shared" si="9"/>
        <v>2047</v>
      </c>
      <c r="N44" s="1363">
        <f t="shared" si="9"/>
        <v>2048</v>
      </c>
      <c r="O44" s="1363">
        <f t="shared" si="9"/>
        <v>2049</v>
      </c>
      <c r="P44" s="1363">
        <f t="shared" si="9"/>
        <v>2050</v>
      </c>
      <c r="Q44" s="1363">
        <f t="shared" si="9"/>
        <v>2051</v>
      </c>
      <c r="R44" s="1363">
        <f t="shared" si="9"/>
        <v>2052</v>
      </c>
      <c r="S44" s="1363">
        <f t="shared" si="9"/>
        <v>2053</v>
      </c>
      <c r="T44" s="1363">
        <f t="shared" si="9"/>
        <v>2054</v>
      </c>
      <c r="U44" s="1363">
        <f t="shared" si="9"/>
        <v>2055</v>
      </c>
      <c r="V44" s="1363">
        <f t="shared" si="9"/>
        <v>2056</v>
      </c>
      <c r="W44" s="1363">
        <f t="shared" si="9"/>
        <v>2057</v>
      </c>
      <c r="X44" s="1363">
        <f t="shared" si="9"/>
        <v>2058</v>
      </c>
      <c r="Y44" s="1363">
        <f t="shared" si="9"/>
        <v>2059</v>
      </c>
      <c r="Z44" s="1363">
        <f t="shared" si="9"/>
        <v>2060</v>
      </c>
      <c r="AA44" s="1363">
        <f t="shared" si="9"/>
        <v>2061</v>
      </c>
      <c r="AB44" s="1363">
        <f t="shared" si="9"/>
        <v>2062</v>
      </c>
      <c r="AC44" s="1361">
        <f t="shared" si="9"/>
        <v>2063</v>
      </c>
    </row>
    <row r="45" spans="1:29" s="58" customFormat="1" ht="12.75" customHeight="1" thickBot="1">
      <c r="A45" s="66"/>
      <c r="B45" s="411" t="s">
        <v>19</v>
      </c>
      <c r="C45" s="413" t="str">
        <f>C37</f>
        <v>Přírůstkové cash-flow</v>
      </c>
      <c r="D45" s="424"/>
      <c r="E45" s="1364"/>
      <c r="F45" s="1364"/>
      <c r="G45" s="1364"/>
      <c r="H45" s="1364"/>
      <c r="I45" s="1364"/>
      <c r="J45" s="1364"/>
      <c r="K45" s="1364"/>
      <c r="L45" s="1364"/>
      <c r="M45" s="1364"/>
      <c r="N45" s="1364"/>
      <c r="O45" s="1364"/>
      <c r="P45" s="1364"/>
      <c r="Q45" s="1364"/>
      <c r="R45" s="1364"/>
      <c r="S45" s="1364"/>
      <c r="T45" s="1364"/>
      <c r="U45" s="1364"/>
      <c r="V45" s="1364"/>
      <c r="W45" s="1364"/>
      <c r="X45" s="1364"/>
      <c r="Y45" s="1364"/>
      <c r="Z45" s="1364"/>
      <c r="AA45" s="1364"/>
      <c r="AB45" s="1364"/>
      <c r="AC45" s="1362"/>
    </row>
    <row r="46" spans="1:29" s="58" customFormat="1" ht="12.75" customHeight="1">
      <c r="A46" s="66"/>
      <c r="B46" s="389"/>
      <c r="C46" s="400">
        <f>IF($C$4="","",$C$4)</f>
      </c>
      <c r="D46" s="421"/>
      <c r="E46" s="75">
        <f>E12-E29</f>
        <v>0</v>
      </c>
      <c r="F46" s="75">
        <f aca="true" t="shared" si="10" ref="F46:AC46">F12-F29</f>
        <v>0</v>
      </c>
      <c r="G46" s="75">
        <f t="shared" si="10"/>
        <v>0</v>
      </c>
      <c r="H46" s="75">
        <f t="shared" si="10"/>
        <v>0</v>
      </c>
      <c r="I46" s="75">
        <f t="shared" si="10"/>
        <v>0</v>
      </c>
      <c r="J46" s="75">
        <f t="shared" si="10"/>
        <v>0</v>
      </c>
      <c r="K46" s="75">
        <f t="shared" si="10"/>
        <v>0</v>
      </c>
      <c r="L46" s="75">
        <f t="shared" si="10"/>
        <v>0</v>
      </c>
      <c r="M46" s="75">
        <f t="shared" si="10"/>
        <v>0</v>
      </c>
      <c r="N46" s="75">
        <f t="shared" si="10"/>
        <v>0</v>
      </c>
      <c r="O46" s="75">
        <f t="shared" si="10"/>
        <v>0</v>
      </c>
      <c r="P46" s="75">
        <f t="shared" si="10"/>
        <v>0</v>
      </c>
      <c r="Q46" s="75">
        <f t="shared" si="10"/>
        <v>0</v>
      </c>
      <c r="R46" s="75">
        <f t="shared" si="10"/>
        <v>0</v>
      </c>
      <c r="S46" s="75">
        <f t="shared" si="10"/>
        <v>0</v>
      </c>
      <c r="T46" s="75">
        <f t="shared" si="10"/>
        <v>0</v>
      </c>
      <c r="U46" s="75">
        <f t="shared" si="10"/>
        <v>0</v>
      </c>
      <c r="V46" s="75">
        <f t="shared" si="10"/>
        <v>0</v>
      </c>
      <c r="W46" s="75">
        <f t="shared" si="10"/>
        <v>0</v>
      </c>
      <c r="X46" s="75">
        <f t="shared" si="10"/>
        <v>0</v>
      </c>
      <c r="Y46" s="75">
        <f t="shared" si="10"/>
        <v>0</v>
      </c>
      <c r="Z46" s="75">
        <f t="shared" si="10"/>
        <v>0</v>
      </c>
      <c r="AA46" s="75">
        <f t="shared" si="10"/>
        <v>0</v>
      </c>
      <c r="AB46" s="75">
        <f t="shared" si="10"/>
        <v>0</v>
      </c>
      <c r="AC46" s="390">
        <f t="shared" si="10"/>
        <v>0</v>
      </c>
    </row>
    <row r="47" spans="1:29" s="58" customFormat="1" ht="12.75" customHeight="1">
      <c r="A47" s="66"/>
      <c r="B47" s="389"/>
      <c r="C47" s="400">
        <f>IF($C$5="","",$C$5)</f>
      </c>
      <c r="D47" s="421"/>
      <c r="E47" s="75">
        <f aca="true" t="shared" si="11" ref="E47:AC47">E13-E30</f>
        <v>0</v>
      </c>
      <c r="F47" s="75">
        <f t="shared" si="11"/>
        <v>0</v>
      </c>
      <c r="G47" s="75">
        <f t="shared" si="11"/>
        <v>0</v>
      </c>
      <c r="H47" s="75">
        <f t="shared" si="11"/>
        <v>0</v>
      </c>
      <c r="I47" s="75">
        <f t="shared" si="11"/>
        <v>0</v>
      </c>
      <c r="J47" s="75">
        <f t="shared" si="11"/>
        <v>0</v>
      </c>
      <c r="K47" s="75">
        <f t="shared" si="11"/>
        <v>0</v>
      </c>
      <c r="L47" s="75">
        <f t="shared" si="11"/>
        <v>0</v>
      </c>
      <c r="M47" s="75">
        <f t="shared" si="11"/>
        <v>0</v>
      </c>
      <c r="N47" s="75">
        <f t="shared" si="11"/>
        <v>0</v>
      </c>
      <c r="O47" s="75">
        <f t="shared" si="11"/>
        <v>0</v>
      </c>
      <c r="P47" s="75">
        <f t="shared" si="11"/>
        <v>0</v>
      </c>
      <c r="Q47" s="75">
        <f t="shared" si="11"/>
        <v>0</v>
      </c>
      <c r="R47" s="75">
        <f t="shared" si="11"/>
        <v>0</v>
      </c>
      <c r="S47" s="75">
        <f t="shared" si="11"/>
        <v>0</v>
      </c>
      <c r="T47" s="75">
        <f t="shared" si="11"/>
        <v>0</v>
      </c>
      <c r="U47" s="75">
        <f t="shared" si="11"/>
        <v>0</v>
      </c>
      <c r="V47" s="75">
        <f t="shared" si="11"/>
        <v>0</v>
      </c>
      <c r="W47" s="75">
        <f t="shared" si="11"/>
        <v>0</v>
      </c>
      <c r="X47" s="75">
        <f t="shared" si="11"/>
        <v>0</v>
      </c>
      <c r="Y47" s="75">
        <f t="shared" si="11"/>
        <v>0</v>
      </c>
      <c r="Z47" s="75">
        <f t="shared" si="11"/>
        <v>0</v>
      </c>
      <c r="AA47" s="75">
        <f t="shared" si="11"/>
        <v>0</v>
      </c>
      <c r="AB47" s="75">
        <f t="shared" si="11"/>
        <v>0</v>
      </c>
      <c r="AC47" s="390">
        <f t="shared" si="11"/>
        <v>0</v>
      </c>
    </row>
    <row r="48" spans="1:29" s="58" customFormat="1" ht="12.75" customHeight="1">
      <c r="A48" s="66"/>
      <c r="B48" s="389"/>
      <c r="C48" s="400">
        <f>IF($C$6="","",$C$6)</f>
      </c>
      <c r="D48" s="421"/>
      <c r="E48" s="75">
        <f aca="true" t="shared" si="12" ref="E48:AC48">E14-E31</f>
        <v>0</v>
      </c>
      <c r="F48" s="75">
        <f t="shared" si="12"/>
        <v>0</v>
      </c>
      <c r="G48" s="75">
        <f t="shared" si="12"/>
        <v>0</v>
      </c>
      <c r="H48" s="75">
        <f t="shared" si="12"/>
        <v>0</v>
      </c>
      <c r="I48" s="75">
        <f t="shared" si="12"/>
        <v>0</v>
      </c>
      <c r="J48" s="75">
        <f t="shared" si="12"/>
        <v>0</v>
      </c>
      <c r="K48" s="75">
        <f t="shared" si="12"/>
        <v>0</v>
      </c>
      <c r="L48" s="75">
        <f t="shared" si="12"/>
        <v>0</v>
      </c>
      <c r="M48" s="75">
        <f t="shared" si="12"/>
        <v>0</v>
      </c>
      <c r="N48" s="75">
        <f t="shared" si="12"/>
        <v>0</v>
      </c>
      <c r="O48" s="75">
        <f t="shared" si="12"/>
        <v>0</v>
      </c>
      <c r="P48" s="75">
        <f t="shared" si="12"/>
        <v>0</v>
      </c>
      <c r="Q48" s="75">
        <f t="shared" si="12"/>
        <v>0</v>
      </c>
      <c r="R48" s="75">
        <f t="shared" si="12"/>
        <v>0</v>
      </c>
      <c r="S48" s="75">
        <f t="shared" si="12"/>
        <v>0</v>
      </c>
      <c r="T48" s="75">
        <f t="shared" si="12"/>
        <v>0</v>
      </c>
      <c r="U48" s="75">
        <f t="shared" si="12"/>
        <v>0</v>
      </c>
      <c r="V48" s="75">
        <f t="shared" si="12"/>
        <v>0</v>
      </c>
      <c r="W48" s="75">
        <f t="shared" si="12"/>
        <v>0</v>
      </c>
      <c r="X48" s="75">
        <f t="shared" si="12"/>
        <v>0</v>
      </c>
      <c r="Y48" s="75">
        <f t="shared" si="12"/>
        <v>0</v>
      </c>
      <c r="Z48" s="75">
        <f t="shared" si="12"/>
        <v>0</v>
      </c>
      <c r="AA48" s="75">
        <f t="shared" si="12"/>
        <v>0</v>
      </c>
      <c r="AB48" s="75">
        <f t="shared" si="12"/>
        <v>0</v>
      </c>
      <c r="AC48" s="390">
        <f t="shared" si="12"/>
        <v>0</v>
      </c>
    </row>
    <row r="49" spans="1:29" s="58" customFormat="1" ht="12.75" customHeight="1">
      <c r="A49" s="66"/>
      <c r="B49" s="399"/>
      <c r="C49" s="401">
        <f>IF($C$7="","",$C$7)</f>
      </c>
      <c r="D49" s="422"/>
      <c r="E49" s="397">
        <f aca="true" t="shared" si="13" ref="E49:AC49">E15-E32</f>
        <v>0</v>
      </c>
      <c r="F49" s="397">
        <f t="shared" si="13"/>
        <v>0</v>
      </c>
      <c r="G49" s="397">
        <f t="shared" si="13"/>
        <v>0</v>
      </c>
      <c r="H49" s="397">
        <f t="shared" si="13"/>
        <v>0</v>
      </c>
      <c r="I49" s="397">
        <f t="shared" si="13"/>
        <v>0</v>
      </c>
      <c r="J49" s="397">
        <f t="shared" si="13"/>
        <v>0</v>
      </c>
      <c r="K49" s="397">
        <f t="shared" si="13"/>
        <v>0</v>
      </c>
      <c r="L49" s="397">
        <f t="shared" si="13"/>
        <v>0</v>
      </c>
      <c r="M49" s="397">
        <f t="shared" si="13"/>
        <v>0</v>
      </c>
      <c r="N49" s="397">
        <f t="shared" si="13"/>
        <v>0</v>
      </c>
      <c r="O49" s="397">
        <f t="shared" si="13"/>
        <v>0</v>
      </c>
      <c r="P49" s="397">
        <f t="shared" si="13"/>
        <v>0</v>
      </c>
      <c r="Q49" s="397">
        <f t="shared" si="13"/>
        <v>0</v>
      </c>
      <c r="R49" s="397">
        <f t="shared" si="13"/>
        <v>0</v>
      </c>
      <c r="S49" s="397">
        <f t="shared" si="13"/>
        <v>0</v>
      </c>
      <c r="T49" s="397">
        <f t="shared" si="13"/>
        <v>0</v>
      </c>
      <c r="U49" s="397">
        <f t="shared" si="13"/>
        <v>0</v>
      </c>
      <c r="V49" s="397">
        <f t="shared" si="13"/>
        <v>0</v>
      </c>
      <c r="W49" s="397">
        <f t="shared" si="13"/>
        <v>0</v>
      </c>
      <c r="X49" s="397">
        <f t="shared" si="13"/>
        <v>0</v>
      </c>
      <c r="Y49" s="397">
        <f t="shared" si="13"/>
        <v>0</v>
      </c>
      <c r="Z49" s="397">
        <f t="shared" si="13"/>
        <v>0</v>
      </c>
      <c r="AA49" s="397">
        <f t="shared" si="13"/>
        <v>0</v>
      </c>
      <c r="AB49" s="397">
        <f t="shared" si="13"/>
        <v>0</v>
      </c>
      <c r="AC49" s="398">
        <f t="shared" si="13"/>
        <v>0</v>
      </c>
    </row>
    <row r="50" spans="1:29" s="58" customFormat="1" ht="12.75" thickBot="1">
      <c r="A50" s="56"/>
      <c r="B50" s="391"/>
      <c r="C50" s="392">
        <f>IF(C16="","",C16)</f>
      </c>
      <c r="D50" s="423"/>
      <c r="E50" s="393">
        <f aca="true" t="shared" si="14" ref="E50:AC50">SUM(E46:E49)</f>
        <v>0</v>
      </c>
      <c r="F50" s="393">
        <f t="shared" si="14"/>
        <v>0</v>
      </c>
      <c r="G50" s="393">
        <f t="shared" si="14"/>
        <v>0</v>
      </c>
      <c r="H50" s="393">
        <f t="shared" si="14"/>
        <v>0</v>
      </c>
      <c r="I50" s="393">
        <f t="shared" si="14"/>
        <v>0</v>
      </c>
      <c r="J50" s="393">
        <f t="shared" si="14"/>
        <v>0</v>
      </c>
      <c r="K50" s="393">
        <f t="shared" si="14"/>
        <v>0</v>
      </c>
      <c r="L50" s="393">
        <f t="shared" si="14"/>
        <v>0</v>
      </c>
      <c r="M50" s="393">
        <f t="shared" si="14"/>
        <v>0</v>
      </c>
      <c r="N50" s="393">
        <f t="shared" si="14"/>
        <v>0</v>
      </c>
      <c r="O50" s="393">
        <f t="shared" si="14"/>
        <v>0</v>
      </c>
      <c r="P50" s="393">
        <f t="shared" si="14"/>
        <v>0</v>
      </c>
      <c r="Q50" s="393">
        <f t="shared" si="14"/>
        <v>0</v>
      </c>
      <c r="R50" s="393">
        <f t="shared" si="14"/>
        <v>0</v>
      </c>
      <c r="S50" s="393">
        <f t="shared" si="14"/>
        <v>0</v>
      </c>
      <c r="T50" s="393">
        <f t="shared" si="14"/>
        <v>0</v>
      </c>
      <c r="U50" s="393">
        <f t="shared" si="14"/>
        <v>0</v>
      </c>
      <c r="V50" s="393">
        <f t="shared" si="14"/>
        <v>0</v>
      </c>
      <c r="W50" s="393">
        <f t="shared" si="14"/>
        <v>0</v>
      </c>
      <c r="X50" s="393">
        <f t="shared" si="14"/>
        <v>0</v>
      </c>
      <c r="Y50" s="393">
        <f t="shared" si="14"/>
        <v>0</v>
      </c>
      <c r="Z50" s="393">
        <f t="shared" si="14"/>
        <v>0</v>
      </c>
      <c r="AA50" s="393">
        <f t="shared" si="14"/>
        <v>0</v>
      </c>
      <c r="AB50" s="393">
        <f t="shared" si="14"/>
        <v>0</v>
      </c>
      <c r="AC50" s="394">
        <f t="shared" si="14"/>
        <v>0</v>
      </c>
    </row>
    <row r="51" spans="2:19" ht="12">
      <c r="B51" s="47"/>
      <c r="C51" s="68"/>
      <c r="D51" s="93"/>
      <c r="E51" s="105"/>
      <c r="F51" s="105"/>
      <c r="G51" s="105"/>
      <c r="H51" s="105"/>
      <c r="I51" s="105"/>
      <c r="J51" s="105"/>
      <c r="K51" s="105"/>
      <c r="L51" s="105"/>
      <c r="M51" s="105"/>
      <c r="N51" s="105"/>
      <c r="O51" s="105"/>
      <c r="P51" s="105"/>
      <c r="Q51" s="105"/>
      <c r="R51" s="105"/>
      <c r="S51" s="105"/>
    </row>
    <row r="52" ht="12" thickBot="1"/>
    <row r="53" spans="2:16" ht="11.25">
      <c r="B53" s="1355" t="str">
        <f>IF('0 Úvod'!$M$3="English",Slovnik!D287,Slovnik!C287)</f>
        <v>Komentáře</v>
      </c>
      <c r="C53" s="1356"/>
      <c r="D53" s="1356"/>
      <c r="E53" s="1356"/>
      <c r="F53" s="1356"/>
      <c r="G53" s="1356"/>
      <c r="H53" s="1356"/>
      <c r="I53" s="1356"/>
      <c r="J53" s="1356"/>
      <c r="K53" s="1356"/>
      <c r="L53" s="1356"/>
      <c r="M53" s="1356"/>
      <c r="N53" s="1356"/>
      <c r="O53" s="1356"/>
      <c r="P53" s="1357"/>
    </row>
    <row r="54" spans="2:16" ht="12" thickBot="1">
      <c r="B54" s="1358"/>
      <c r="C54" s="1359"/>
      <c r="D54" s="1359"/>
      <c r="E54" s="1359"/>
      <c r="F54" s="1359"/>
      <c r="G54" s="1359"/>
      <c r="H54" s="1359"/>
      <c r="I54" s="1359"/>
      <c r="J54" s="1359"/>
      <c r="K54" s="1359"/>
      <c r="L54" s="1359"/>
      <c r="M54" s="1359"/>
      <c r="N54" s="1359"/>
      <c r="O54" s="1359"/>
      <c r="P54" s="1360"/>
    </row>
    <row r="55" spans="2:16" ht="12.75">
      <c r="B55" s="882" t="str">
        <f>IF('0 Úvod'!$M$3="English",Slovnik!D288,Slovnik!C288)</f>
        <v>Mohou být zahrnuty i jiné přínosy a náklady dle konkrétního projektu. Zpracovatel uvede konkrétní vstupní hodnoty použité při výpočtu.</v>
      </c>
      <c r="C55" s="883"/>
      <c r="D55" s="884"/>
      <c r="E55" s="884"/>
      <c r="F55" s="884"/>
      <c r="G55" s="885"/>
      <c r="H55" s="884"/>
      <c r="I55" s="884"/>
      <c r="J55" s="884"/>
      <c r="K55" s="884"/>
      <c r="L55" s="884"/>
      <c r="M55" s="884"/>
      <c r="N55" s="884"/>
      <c r="O55" s="884"/>
      <c r="P55" s="886"/>
    </row>
    <row r="56" spans="2:16" ht="13.5" thickBot="1">
      <c r="B56" s="887"/>
      <c r="C56" s="888"/>
      <c r="D56" s="889"/>
      <c r="E56" s="889"/>
      <c r="F56" s="889"/>
      <c r="G56" s="890"/>
      <c r="H56" s="889"/>
      <c r="I56" s="889"/>
      <c r="J56" s="889"/>
      <c r="K56" s="889"/>
      <c r="L56" s="889"/>
      <c r="M56" s="889"/>
      <c r="N56" s="889"/>
      <c r="O56" s="889"/>
      <c r="P56" s="891"/>
    </row>
    <row r="57" spans="2:16" ht="12.75" customHeight="1">
      <c r="B57" s="1487"/>
      <c r="C57" s="1488"/>
      <c r="D57" s="1488"/>
      <c r="E57" s="1488"/>
      <c r="F57" s="1488"/>
      <c r="G57" s="1488"/>
      <c r="H57" s="1488"/>
      <c r="I57" s="1488"/>
      <c r="J57" s="1488"/>
      <c r="K57" s="1488"/>
      <c r="L57" s="1488"/>
      <c r="M57" s="1488"/>
      <c r="N57" s="1488"/>
      <c r="O57" s="1488"/>
      <c r="P57" s="1489"/>
    </row>
    <row r="58" spans="2:16" ht="12.75" customHeight="1">
      <c r="B58" s="1490"/>
      <c r="C58" s="1491"/>
      <c r="D58" s="1491"/>
      <c r="E58" s="1491"/>
      <c r="F58" s="1491"/>
      <c r="G58" s="1491"/>
      <c r="H58" s="1491"/>
      <c r="I58" s="1491"/>
      <c r="J58" s="1491"/>
      <c r="K58" s="1491"/>
      <c r="L58" s="1491"/>
      <c r="M58" s="1491"/>
      <c r="N58" s="1491"/>
      <c r="O58" s="1491"/>
      <c r="P58" s="1492"/>
    </row>
    <row r="59" spans="2:16" ht="12.75" customHeight="1">
      <c r="B59" s="1490"/>
      <c r="C59" s="1491"/>
      <c r="D59" s="1491"/>
      <c r="E59" s="1491"/>
      <c r="F59" s="1491"/>
      <c r="G59" s="1491"/>
      <c r="H59" s="1491"/>
      <c r="I59" s="1491"/>
      <c r="J59" s="1491"/>
      <c r="K59" s="1491"/>
      <c r="L59" s="1491"/>
      <c r="M59" s="1491"/>
      <c r="N59" s="1491"/>
      <c r="O59" s="1491"/>
      <c r="P59" s="1492"/>
    </row>
    <row r="60" spans="2:16" ht="12.75" customHeight="1">
      <c r="B60" s="1490"/>
      <c r="C60" s="1491"/>
      <c r="D60" s="1491"/>
      <c r="E60" s="1491"/>
      <c r="F60" s="1491"/>
      <c r="G60" s="1491"/>
      <c r="H60" s="1491"/>
      <c r="I60" s="1491"/>
      <c r="J60" s="1491"/>
      <c r="K60" s="1491"/>
      <c r="L60" s="1491"/>
      <c r="M60" s="1491"/>
      <c r="N60" s="1491"/>
      <c r="O60" s="1491"/>
      <c r="P60" s="1492"/>
    </row>
    <row r="61" spans="2:16" ht="12.75" customHeight="1">
      <c r="B61" s="1490"/>
      <c r="C61" s="1491"/>
      <c r="D61" s="1491"/>
      <c r="E61" s="1491"/>
      <c r="F61" s="1491"/>
      <c r="G61" s="1491"/>
      <c r="H61" s="1491"/>
      <c r="I61" s="1491"/>
      <c r="J61" s="1491"/>
      <c r="K61" s="1491"/>
      <c r="L61" s="1491"/>
      <c r="M61" s="1491"/>
      <c r="N61" s="1491"/>
      <c r="O61" s="1491"/>
      <c r="P61" s="1492"/>
    </row>
    <row r="62" spans="2:16" ht="12.75" customHeight="1">
      <c r="B62" s="1490"/>
      <c r="C62" s="1491"/>
      <c r="D62" s="1491"/>
      <c r="E62" s="1491"/>
      <c r="F62" s="1491"/>
      <c r="G62" s="1491"/>
      <c r="H62" s="1491"/>
      <c r="I62" s="1491"/>
      <c r="J62" s="1491"/>
      <c r="K62" s="1491"/>
      <c r="L62" s="1491"/>
      <c r="M62" s="1491"/>
      <c r="N62" s="1491"/>
      <c r="O62" s="1491"/>
      <c r="P62" s="1492"/>
    </row>
    <row r="63" spans="2:16" ht="12.75" customHeight="1">
      <c r="B63" s="1490"/>
      <c r="C63" s="1491"/>
      <c r="D63" s="1491"/>
      <c r="E63" s="1491"/>
      <c r="F63" s="1491"/>
      <c r="G63" s="1491"/>
      <c r="H63" s="1491"/>
      <c r="I63" s="1491"/>
      <c r="J63" s="1491"/>
      <c r="K63" s="1491"/>
      <c r="L63" s="1491"/>
      <c r="M63" s="1491"/>
      <c r="N63" s="1491"/>
      <c r="O63" s="1491"/>
      <c r="P63" s="1492"/>
    </row>
    <row r="64" spans="2:16" ht="12.75" customHeight="1" thickBot="1">
      <c r="B64" s="1493"/>
      <c r="C64" s="1494"/>
      <c r="D64" s="1494"/>
      <c r="E64" s="1494"/>
      <c r="F64" s="1494"/>
      <c r="G64" s="1494"/>
      <c r="H64" s="1494"/>
      <c r="I64" s="1494"/>
      <c r="J64" s="1494"/>
      <c r="K64" s="1494"/>
      <c r="L64" s="1494"/>
      <c r="M64" s="1494"/>
      <c r="N64" s="1494"/>
      <c r="O64" s="1494"/>
      <c r="P64" s="1495"/>
    </row>
  </sheetData>
  <sheetProtection/>
  <mergeCells count="152">
    <mergeCell ref="E10:E11"/>
    <mergeCell ref="F10:F11"/>
    <mergeCell ref="G10:G11"/>
    <mergeCell ref="H10:H11"/>
    <mergeCell ref="E19:E20"/>
    <mergeCell ref="F19:F20"/>
    <mergeCell ref="G19:G20"/>
    <mergeCell ref="J44:J45"/>
    <mergeCell ref="B53:P54"/>
    <mergeCell ref="M36:M37"/>
    <mergeCell ref="I44:I45"/>
    <mergeCell ref="E44:E45"/>
    <mergeCell ref="F44:F45"/>
    <mergeCell ref="G44:G45"/>
    <mergeCell ref="H44:H45"/>
    <mergeCell ref="H27:H28"/>
    <mergeCell ref="O27:O28"/>
    <mergeCell ref="I10:I11"/>
    <mergeCell ref="J10:J11"/>
    <mergeCell ref="K10:K11"/>
    <mergeCell ref="J36:J37"/>
    <mergeCell ref="M10:M11"/>
    <mergeCell ref="N10:N11"/>
    <mergeCell ref="O10:O11"/>
    <mergeCell ref="S2:S3"/>
    <mergeCell ref="E36:E37"/>
    <mergeCell ref="F36:F37"/>
    <mergeCell ref="G36:G37"/>
    <mergeCell ref="H36:H37"/>
    <mergeCell ref="I36:I37"/>
    <mergeCell ref="I2:I3"/>
    <mergeCell ref="Q2:Q3"/>
    <mergeCell ref="K2:K3"/>
    <mergeCell ref="L2:L3"/>
    <mergeCell ref="P2:P3"/>
    <mergeCell ref="E2:E3"/>
    <mergeCell ref="F2:F3"/>
    <mergeCell ref="G2:G3"/>
    <mergeCell ref="H2:H3"/>
    <mergeCell ref="J2:J3"/>
    <mergeCell ref="L10:L11"/>
    <mergeCell ref="R2:R3"/>
    <mergeCell ref="M2:M3"/>
    <mergeCell ref="O2:O3"/>
    <mergeCell ref="N2:N3"/>
    <mergeCell ref="R19:R20"/>
    <mergeCell ref="S19:S20"/>
    <mergeCell ref="G27:G28"/>
    <mergeCell ref="W2:W3"/>
    <mergeCell ref="T36:T37"/>
    <mergeCell ref="U36:U37"/>
    <mergeCell ref="V36:V37"/>
    <mergeCell ref="W36:W37"/>
    <mergeCell ref="V19:V20"/>
    <mergeCell ref="W19:W20"/>
    <mergeCell ref="T27:T28"/>
    <mergeCell ref="U27:U28"/>
    <mergeCell ref="N27:N28"/>
    <mergeCell ref="S44:S45"/>
    <mergeCell ref="R44:R45"/>
    <mergeCell ref="R36:R37"/>
    <mergeCell ref="I27:I28"/>
    <mergeCell ref="J27:J28"/>
    <mergeCell ref="K27:K28"/>
    <mergeCell ref="L27:L28"/>
    <mergeCell ref="P27:P28"/>
    <mergeCell ref="Q27:Q28"/>
    <mergeCell ref="L44:L45"/>
    <mergeCell ref="Q10:Q11"/>
    <mergeCell ref="R10:R11"/>
    <mergeCell ref="S10:S11"/>
    <mergeCell ref="S36:S37"/>
    <mergeCell ref="P10:P11"/>
    <mergeCell ref="P36:P37"/>
    <mergeCell ref="R27:R28"/>
    <mergeCell ref="S27:S28"/>
    <mergeCell ref="Q19:Q20"/>
    <mergeCell ref="AB27:AB28"/>
    <mergeCell ref="AC27:AC28"/>
    <mergeCell ref="AA19:AA20"/>
    <mergeCell ref="AB19:AB20"/>
    <mergeCell ref="AC19:AC20"/>
    <mergeCell ref="AA2:AA3"/>
    <mergeCell ref="AB2:AB3"/>
    <mergeCell ref="AC2:AC3"/>
    <mergeCell ref="T10:T11"/>
    <mergeCell ref="U10:U11"/>
    <mergeCell ref="V10:V11"/>
    <mergeCell ref="W10:W11"/>
    <mergeCell ref="X10:X11"/>
    <mergeCell ref="Y10:Y11"/>
    <mergeCell ref="Z10:Z11"/>
    <mergeCell ref="AA10:AA11"/>
    <mergeCell ref="AB10:AB11"/>
    <mergeCell ref="AC10:AC11"/>
    <mergeCell ref="X2:X3"/>
    <mergeCell ref="Y2:Y3"/>
    <mergeCell ref="Z2:Z3"/>
    <mergeCell ref="T2:T3"/>
    <mergeCell ref="U2:U3"/>
    <mergeCell ref="V2:V3"/>
    <mergeCell ref="AB44:AB45"/>
    <mergeCell ref="AC44:AC45"/>
    <mergeCell ref="Z36:Z37"/>
    <mergeCell ref="AA36:AA37"/>
    <mergeCell ref="AB36:AB37"/>
    <mergeCell ref="AC36:AC37"/>
    <mergeCell ref="X36:X37"/>
    <mergeCell ref="Y36:Y37"/>
    <mergeCell ref="X44:X45"/>
    <mergeCell ref="Y44:Y45"/>
    <mergeCell ref="Z44:Z45"/>
    <mergeCell ref="Z19:Z20"/>
    <mergeCell ref="Z27:Z28"/>
    <mergeCell ref="W27:W28"/>
    <mergeCell ref="X27:X28"/>
    <mergeCell ref="Y27:Y28"/>
    <mergeCell ref="Y19:Y20"/>
    <mergeCell ref="AA44:AA45"/>
    <mergeCell ref="AA27:AA28"/>
    <mergeCell ref="T19:T20"/>
    <mergeCell ref="U19:U20"/>
    <mergeCell ref="X19:X20"/>
    <mergeCell ref="T44:T45"/>
    <mergeCell ref="U44:U45"/>
    <mergeCell ref="V44:V45"/>
    <mergeCell ref="W44:W45"/>
    <mergeCell ref="V27:V28"/>
    <mergeCell ref="E27:E28"/>
    <mergeCell ref="F27:F28"/>
    <mergeCell ref="K44:K45"/>
    <mergeCell ref="Q44:Q45"/>
    <mergeCell ref="B57:P64"/>
    <mergeCell ref="H19:H20"/>
    <mergeCell ref="I19:I20"/>
    <mergeCell ref="J19:J20"/>
    <mergeCell ref="K19:K20"/>
    <mergeCell ref="L19:L20"/>
    <mergeCell ref="M19:M20"/>
    <mergeCell ref="N19:N20"/>
    <mergeCell ref="O19:O20"/>
    <mergeCell ref="P19:P20"/>
    <mergeCell ref="Q36:Q37"/>
    <mergeCell ref="N36:N37"/>
    <mergeCell ref="O36:O37"/>
    <mergeCell ref="K36:K37"/>
    <mergeCell ref="L36:L37"/>
    <mergeCell ref="M44:M45"/>
    <mergeCell ref="N44:N45"/>
    <mergeCell ref="O44:O45"/>
    <mergeCell ref="P44:P45"/>
    <mergeCell ref="M27:M28"/>
  </mergeCells>
  <conditionalFormatting sqref="F51:S51">
    <cfRule type="cellIs" priority="1" dxfId="0" operator="lessThan" stopIfTrue="1">
      <formula>0</formula>
    </cfRule>
  </conditionalFormatting>
  <conditionalFormatting sqref="E51">
    <cfRule type="cellIs" priority="2" dxfId="3" operator="lessThan" stopIfTrue="1">
      <formula>0</formula>
    </cfRule>
  </conditionalFormatting>
  <printOptions/>
  <pageMargins left="0.1931496062992126" right="0.15314960629921262" top="0.7900000000000001" bottom="0.7900000000000001" header="0.39000000000000007" footer="0.39000000000000007"/>
  <pageSetup fitToHeight="0" fitToWidth="1" horizontalDpi="600" verticalDpi="600" orientation="landscape" paperSize="9" scale="46" r:id="rId3"/>
  <headerFooter alignWithMargins="0">
    <oddFooter>&amp;L&amp;A&amp;C25.2.2013</oddFooter>
  </headerFooter>
  <legacyDrawing r:id="rId2"/>
</worksheet>
</file>

<file path=xl/worksheets/sheet11.xml><?xml version="1.0" encoding="utf-8"?>
<worksheet xmlns="http://schemas.openxmlformats.org/spreadsheetml/2006/main" xmlns:r="http://schemas.openxmlformats.org/officeDocument/2006/relationships">
  <sheetPr codeName="List11">
    <tabColor theme="9" tint="0.39998000860214233"/>
    <pageSetUpPr fitToPage="1"/>
  </sheetPr>
  <dimension ref="A1:AS80"/>
  <sheetViews>
    <sheetView zoomScale="85" zoomScaleNormal="85" zoomScalePageLayoutView="0" workbookViewId="0" topLeftCell="A1">
      <selection activeCell="H35" sqref="H35"/>
    </sheetView>
  </sheetViews>
  <sheetFormatPr defaultColWidth="9.140625" defaultRowHeight="12.75"/>
  <cols>
    <col min="1" max="1" width="2.7109375" style="227" customWidth="1"/>
    <col min="2" max="2" width="5.7109375" style="227" customWidth="1"/>
    <col min="3" max="3" width="42.7109375" style="227" customWidth="1"/>
    <col min="4" max="4" width="12.7109375" style="227" customWidth="1"/>
    <col min="5" max="5" width="5.00390625" style="227" customWidth="1"/>
    <col min="6" max="6" width="12.7109375" style="227" customWidth="1"/>
    <col min="7" max="12" width="10.7109375" style="227" customWidth="1"/>
    <col min="13" max="13" width="12.28125" style="227" customWidth="1"/>
    <col min="14" max="27" width="10.7109375" style="227" customWidth="1"/>
    <col min="28" max="30" width="10.8515625" style="227" customWidth="1"/>
    <col min="31" max="34" width="9.140625" style="227" customWidth="1"/>
    <col min="35" max="35" width="11.7109375" style="227" bestFit="1" customWidth="1"/>
    <col min="36" max="16384" width="9.140625" style="227" customWidth="1"/>
  </cols>
  <sheetData>
    <row r="1" spans="1:19" ht="12" thickBot="1">
      <c r="A1" s="226"/>
      <c r="B1" s="226"/>
      <c r="C1" s="226"/>
      <c r="D1" s="226"/>
      <c r="E1" s="226"/>
      <c r="F1" s="226"/>
      <c r="G1" s="226"/>
      <c r="H1" s="226"/>
      <c r="I1" s="226"/>
      <c r="J1" s="226"/>
      <c r="K1" s="226"/>
      <c r="L1" s="226"/>
      <c r="M1" s="226"/>
      <c r="N1" s="226"/>
      <c r="O1" s="226"/>
      <c r="P1" s="226"/>
      <c r="Q1" s="226"/>
      <c r="R1" s="226"/>
      <c r="S1" s="226"/>
    </row>
    <row r="2" spans="2:30" ht="12.75">
      <c r="B2" s="506" t="s">
        <v>18</v>
      </c>
      <c r="C2" s="518" t="str">
        <f>IF('0 Úvod'!$M$3="English",Slovnik!D291,Slovnik!C291)</f>
        <v>Ekonomická analýza</v>
      </c>
      <c r="D2" s="1007" t="s">
        <v>134</v>
      </c>
      <c r="E2" s="1496" t="s">
        <v>130</v>
      </c>
      <c r="F2" s="1323">
        <f>'0 Úvod'!G18</f>
        <v>2014</v>
      </c>
      <c r="G2" s="1323">
        <f aca="true" t="shared" si="0" ref="G2:T2">F2+1</f>
        <v>2015</v>
      </c>
      <c r="H2" s="1323">
        <f t="shared" si="0"/>
        <v>2016</v>
      </c>
      <c r="I2" s="1323">
        <f t="shared" si="0"/>
        <v>2017</v>
      </c>
      <c r="J2" s="1323">
        <f t="shared" si="0"/>
        <v>2018</v>
      </c>
      <c r="K2" s="1323">
        <f t="shared" si="0"/>
        <v>2019</v>
      </c>
      <c r="L2" s="1323">
        <f t="shared" si="0"/>
        <v>2020</v>
      </c>
      <c r="M2" s="1323">
        <f t="shared" si="0"/>
        <v>2021</v>
      </c>
      <c r="N2" s="1323">
        <f t="shared" si="0"/>
        <v>2022</v>
      </c>
      <c r="O2" s="1323">
        <f t="shared" si="0"/>
        <v>2023</v>
      </c>
      <c r="P2" s="1323">
        <f t="shared" si="0"/>
        <v>2024</v>
      </c>
      <c r="Q2" s="1323">
        <f t="shared" si="0"/>
        <v>2025</v>
      </c>
      <c r="R2" s="1323">
        <f t="shared" si="0"/>
        <v>2026</v>
      </c>
      <c r="S2" s="1323">
        <f t="shared" si="0"/>
        <v>2027</v>
      </c>
      <c r="T2" s="1323">
        <f t="shared" si="0"/>
        <v>2028</v>
      </c>
      <c r="U2" s="1323">
        <f aca="true" t="shared" si="1" ref="U2:AD2">T2+1</f>
        <v>2029</v>
      </c>
      <c r="V2" s="1323">
        <f t="shared" si="1"/>
        <v>2030</v>
      </c>
      <c r="W2" s="1323">
        <f t="shared" si="1"/>
        <v>2031</v>
      </c>
      <c r="X2" s="1323">
        <f t="shared" si="1"/>
        <v>2032</v>
      </c>
      <c r="Y2" s="1323">
        <f t="shared" si="1"/>
        <v>2033</v>
      </c>
      <c r="Z2" s="1323">
        <f t="shared" si="1"/>
        <v>2034</v>
      </c>
      <c r="AA2" s="1323">
        <f t="shared" si="1"/>
        <v>2035</v>
      </c>
      <c r="AB2" s="1323">
        <f t="shared" si="1"/>
        <v>2036</v>
      </c>
      <c r="AC2" s="1323">
        <f t="shared" si="1"/>
        <v>2037</v>
      </c>
      <c r="AD2" s="1325">
        <f t="shared" si="1"/>
        <v>2038</v>
      </c>
    </row>
    <row r="3" spans="1:35" ht="13.5" thickBot="1">
      <c r="A3" s="228"/>
      <c r="B3" s="517" t="s">
        <v>17</v>
      </c>
      <c r="C3" s="519"/>
      <c r="D3" s="520" t="str">
        <f>IF('0 Úvod'!$M$3="English",Slovnik!D292,Slovnik!C292)</f>
        <v>Celkem</v>
      </c>
      <c r="E3" s="1497"/>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6"/>
      <c r="AE3" s="229"/>
      <c r="AF3" s="229"/>
      <c r="AG3" s="229"/>
      <c r="AH3" s="229"/>
      <c r="AI3" s="229"/>
    </row>
    <row r="4" spans="1:30" ht="12">
      <c r="A4" s="228"/>
      <c r="B4" s="848" t="s">
        <v>118</v>
      </c>
      <c r="C4" s="855" t="str">
        <f>IF('0 Úvod'!$M$3="English",Slovnik!D293,Slovnik!C293)</f>
        <v>Celkem náklady infrastruktury</v>
      </c>
      <c r="D4" s="837">
        <f>SUM(F4:AD4,F20:AD20)</f>
        <v>0</v>
      </c>
      <c r="E4" s="872"/>
      <c r="F4" s="835">
        <f>IF(F2&lt;='0 Úvod'!$G$18+'0 Úvod'!$J$18-1,-'3 Náklady I'!E66,0)</f>
        <v>0</v>
      </c>
      <c r="G4" s="835">
        <f>IF(G2&lt;='0 Úvod'!$G$18+'0 Úvod'!$J$18,-'3 Náklady I'!F66,0)</f>
        <v>0</v>
      </c>
      <c r="H4" s="835">
        <f>IF(H2&lt;='0 Úvod'!$G$18+'0 Úvod'!$J$18,-'3 Náklady I'!G66,0)</f>
        <v>0</v>
      </c>
      <c r="I4" s="835">
        <f>IF(I2&lt;='0 Úvod'!$G$18+'0 Úvod'!$J$18,-'3 Náklady I'!H66,0)</f>
        <v>0</v>
      </c>
      <c r="J4" s="835">
        <f>IF(J2&lt;='0 Úvod'!$G$18+'0 Úvod'!$J$18,-'3 Náklady I'!I66,0)</f>
        <v>0</v>
      </c>
      <c r="K4" s="835">
        <f>IF(K2&lt;='0 Úvod'!$G$18+'0 Úvod'!$J$18,-'3 Náklady I'!J66,0)</f>
        <v>0</v>
      </c>
      <c r="L4" s="835">
        <f>IF(L2&lt;='0 Úvod'!$G$18+'0 Úvod'!$J$18,-'3 Náklady I'!K66,0)</f>
        <v>0</v>
      </c>
      <c r="M4" s="835">
        <f>IF(M2&lt;='0 Úvod'!$G$18+'0 Úvod'!$J$18,-'3 Náklady I'!L66,0)</f>
        <v>0</v>
      </c>
      <c r="N4" s="835">
        <f>IF(N2&lt;='0 Úvod'!$G$18+'0 Úvod'!$J$18,-'3 Náklady I'!M66,0)</f>
        <v>0</v>
      </c>
      <c r="O4" s="835">
        <f>IF(O2&lt;='0 Úvod'!$G$18+'0 Úvod'!$J$18,-'3 Náklady I'!N66,0)</f>
        <v>0</v>
      </c>
      <c r="P4" s="835">
        <f>IF(P2&lt;='0 Úvod'!$G$18+'0 Úvod'!$J$18,-'3 Náklady I'!O66,0)</f>
        <v>0</v>
      </c>
      <c r="Q4" s="835">
        <f>IF(Q2&lt;='0 Úvod'!$G$18+'0 Úvod'!$J$18,-'3 Náklady I'!P66,0)</f>
        <v>0</v>
      </c>
      <c r="R4" s="835">
        <f>IF(R2&lt;='0 Úvod'!$G$18+'0 Úvod'!$J$18,-'3 Náklady I'!Q66,0)</f>
        <v>0</v>
      </c>
      <c r="S4" s="835">
        <f>IF(S2&lt;='0 Úvod'!$G$18+'0 Úvod'!$J$18,-'3 Náklady I'!R66,0)</f>
        <v>0</v>
      </c>
      <c r="T4" s="835">
        <f>IF(T2&lt;='0 Úvod'!$G$18+'0 Úvod'!$J$18,-'3 Náklady I'!S66,0)</f>
        <v>0</v>
      </c>
      <c r="U4" s="835">
        <f>IF(U2&lt;='0 Úvod'!$G$18+'0 Úvod'!$J$18,-'3 Náklady I'!T66,0)</f>
        <v>0</v>
      </c>
      <c r="V4" s="835">
        <f>IF(V2&lt;='0 Úvod'!$G$18+'0 Úvod'!$J$18,-'3 Náklady I'!U66,0)</f>
        <v>0</v>
      </c>
      <c r="W4" s="835">
        <f>IF(W2&lt;='0 Úvod'!$G$18+'0 Úvod'!$J$18,-'3 Náklady I'!V66,0)</f>
        <v>0</v>
      </c>
      <c r="X4" s="835">
        <f>IF(X2&lt;='0 Úvod'!$G$18+'0 Úvod'!$J$18,-'3 Náklady I'!W66,0)</f>
        <v>0</v>
      </c>
      <c r="Y4" s="835">
        <f>IF(Y2&lt;='0 Úvod'!$G$18+'0 Úvod'!$J$18,-'3 Náklady I'!X66,0)</f>
        <v>0</v>
      </c>
      <c r="Z4" s="835">
        <f>IF(Z2&lt;='0 Úvod'!$G$18+'0 Úvod'!$J$18,-'3 Náklady I'!Y66,0)</f>
        <v>0</v>
      </c>
      <c r="AA4" s="835">
        <f>IF(AA2&lt;='0 Úvod'!$G$18+'0 Úvod'!$J$18,-'3 Náklady I'!Z66,0)</f>
        <v>0</v>
      </c>
      <c r="AB4" s="835">
        <f>IF(AB2&lt;='0 Úvod'!$G$18+'0 Úvod'!$J$18,-'3 Náklady I'!AA66,0)</f>
        <v>0</v>
      </c>
      <c r="AC4" s="835">
        <f>IF(AC2&lt;='0 Úvod'!$G$18+'0 Úvod'!$J$18,-'3 Náklady I'!AB66,0)</f>
        <v>0</v>
      </c>
      <c r="AD4" s="836">
        <f>IF(AD2&lt;='0 Úvod'!$G$18+'0 Úvod'!$J$18,-'3 Náklady I'!AC66,0)</f>
        <v>0</v>
      </c>
    </row>
    <row r="5" spans="1:30" ht="12">
      <c r="A5" s="228"/>
      <c r="B5" s="849" t="s">
        <v>119</v>
      </c>
      <c r="C5" s="857" t="str">
        <f>IF('0 Úvod'!$M$3="English",Slovnik!D294,Slovnik!C294)</f>
        <v>Celkem úspory okolní infrastruktury</v>
      </c>
      <c r="D5" s="236">
        <f>SUM(F5:AD5,F21:AD21)</f>
        <v>0</v>
      </c>
      <c r="E5" s="873"/>
      <c r="F5" s="230">
        <f>IF(F2&lt;='0 Úvod'!$G$18+'0 Úvod'!$J$18-1,'5 Úspory OI'!E6,0)</f>
        <v>0</v>
      </c>
      <c r="G5" s="230">
        <f>IF(G2&lt;='0 Úvod'!$G$18+'0 Úvod'!$J$18,'5 Úspory OI'!F6,0)</f>
        <v>0</v>
      </c>
      <c r="H5" s="230">
        <f>IF(H2&lt;='0 Úvod'!$G$18+'0 Úvod'!$J$18,'5 Úspory OI'!G6,0)</f>
        <v>0</v>
      </c>
      <c r="I5" s="230">
        <f>IF(I2&lt;='0 Úvod'!$G$18+'0 Úvod'!$J$18,'5 Úspory OI'!H6,0)</f>
        <v>0</v>
      </c>
      <c r="J5" s="230">
        <f>IF(J2&lt;='0 Úvod'!$G$18+'0 Úvod'!$J$18,'5 Úspory OI'!I6,0)</f>
        <v>0</v>
      </c>
      <c r="K5" s="230">
        <f>IF(K2&lt;='0 Úvod'!$G$18+'0 Úvod'!$J$18,'5 Úspory OI'!J6,0)</f>
        <v>0</v>
      </c>
      <c r="L5" s="230">
        <f>IF(L2&lt;='0 Úvod'!$G$18+'0 Úvod'!$J$18,'5 Úspory OI'!K6,0)</f>
        <v>0</v>
      </c>
      <c r="M5" s="230">
        <f>IF(M2&lt;='0 Úvod'!$G$18+'0 Úvod'!$J$18,'5 Úspory OI'!L6,0)</f>
        <v>0</v>
      </c>
      <c r="N5" s="230">
        <f>IF(N2&lt;='0 Úvod'!$G$18+'0 Úvod'!$J$18,'5 Úspory OI'!M6,0)</f>
        <v>0</v>
      </c>
      <c r="O5" s="230">
        <f>IF(O2&lt;='0 Úvod'!$G$18+'0 Úvod'!$J$18,'5 Úspory OI'!N6,0)</f>
        <v>0</v>
      </c>
      <c r="P5" s="230">
        <f>IF(P2&lt;='0 Úvod'!$G$18+'0 Úvod'!$J$18,'5 Úspory OI'!O6,0)</f>
        <v>0</v>
      </c>
      <c r="Q5" s="230">
        <f>IF(Q2&lt;='0 Úvod'!$G$18+'0 Úvod'!$J$18,'5 Úspory OI'!P6,0)</f>
        <v>0</v>
      </c>
      <c r="R5" s="230">
        <f>IF(R2&lt;='0 Úvod'!$G$18+'0 Úvod'!$J$18,'5 Úspory OI'!Q6,0)</f>
        <v>0</v>
      </c>
      <c r="S5" s="230">
        <f>IF(S2&lt;='0 Úvod'!$G$18+'0 Úvod'!$J$18,'5 Úspory OI'!R6,0)</f>
        <v>0</v>
      </c>
      <c r="T5" s="230">
        <f>IF(T2&lt;='0 Úvod'!$G$18+'0 Úvod'!$J$18,'5 Úspory OI'!S6,0)</f>
        <v>0</v>
      </c>
      <c r="U5" s="230">
        <f>IF(U2&lt;='0 Úvod'!$G$18+'0 Úvod'!$J$18,'5 Úspory OI'!T6,0)</f>
        <v>0</v>
      </c>
      <c r="V5" s="230">
        <f>IF(V2&lt;='0 Úvod'!$G$18+'0 Úvod'!$J$18,'5 Úspory OI'!U6,0)</f>
        <v>0</v>
      </c>
      <c r="W5" s="230">
        <f>IF(W2&lt;='0 Úvod'!$G$18+'0 Úvod'!$J$18,'5 Úspory OI'!V6,0)</f>
        <v>0</v>
      </c>
      <c r="X5" s="230">
        <f>IF(X2&lt;='0 Úvod'!$G$18+'0 Úvod'!$J$18,'5 Úspory OI'!W6,0)</f>
        <v>0</v>
      </c>
      <c r="Y5" s="230">
        <f>IF(Y2&lt;='0 Úvod'!$G$18+'0 Úvod'!$J$18,'5 Úspory OI'!X6,0)</f>
        <v>0</v>
      </c>
      <c r="Z5" s="230">
        <f>IF(Z2&lt;='0 Úvod'!$G$18+'0 Úvod'!$J$18,'5 Úspory OI'!Y6,0)</f>
        <v>0</v>
      </c>
      <c r="AA5" s="230">
        <f>IF(AA2&lt;='0 Úvod'!$G$18+'0 Úvod'!$J$18,'5 Úspory OI'!Z6,0)</f>
        <v>0</v>
      </c>
      <c r="AB5" s="230">
        <f>IF(AB2&lt;='0 Úvod'!$G$18+'0 Úvod'!$J$18,'5 Úspory OI'!AA6,0)</f>
        <v>0</v>
      </c>
      <c r="AC5" s="230">
        <f>IF(AC2&lt;='0 Úvod'!$G$18+'0 Úvod'!$J$18,'5 Úspory OI'!AB6,0)</f>
        <v>0</v>
      </c>
      <c r="AD5" s="497">
        <f>IF(AD2&lt;='0 Úvod'!$G$18+'0 Úvod'!$J$18,'5 Úspory OI'!AC6,0)</f>
        <v>0</v>
      </c>
    </row>
    <row r="6" spans="1:30" ht="12">
      <c r="A6" s="228"/>
      <c r="B6" s="849" t="s">
        <v>120</v>
      </c>
      <c r="C6" s="857" t="str">
        <f>IF('0 Úvod'!$M$3="English",Slovnik!D295,Slovnik!C295)</f>
        <v>Celkem úspory nákladů přepravců</v>
      </c>
      <c r="D6" s="236">
        <f>SUM(F6:AD6,F22:AD22)</f>
        <v>0</v>
      </c>
      <c r="E6" s="873"/>
      <c r="F6" s="230">
        <f>IF(F2&lt;='0 Úvod'!$G$18+'0 Úvod'!$J$18-1,'6 Úspory ND'!E42,0)</f>
        <v>0</v>
      </c>
      <c r="G6" s="230">
        <f>IF(G2&lt;='0 Úvod'!$G$18+'0 Úvod'!$J$18,'6 Úspory ND'!F42,0)</f>
        <v>0</v>
      </c>
      <c r="H6" s="230">
        <f>IF(H2&lt;='0 Úvod'!$G$18+'0 Úvod'!$J$18,'6 Úspory ND'!G42,0)</f>
        <v>0</v>
      </c>
      <c r="I6" s="230">
        <f>IF(I2&lt;='0 Úvod'!$G$18+'0 Úvod'!$J$18,'6 Úspory ND'!H42,0)</f>
        <v>0</v>
      </c>
      <c r="J6" s="230">
        <f>IF(J2&lt;='0 Úvod'!$G$18+'0 Úvod'!$J$18,'6 Úspory ND'!I42,0)</f>
        <v>0</v>
      </c>
      <c r="K6" s="230">
        <f>IF(K2&lt;='0 Úvod'!$G$18+'0 Úvod'!$J$18,'6 Úspory ND'!J42,0)</f>
        <v>0</v>
      </c>
      <c r="L6" s="230">
        <f>IF(L2&lt;='0 Úvod'!$G$18+'0 Úvod'!$J$18,'6 Úspory ND'!K42,0)</f>
        <v>0</v>
      </c>
      <c r="M6" s="230">
        <f>IF(M2&lt;='0 Úvod'!$G$18+'0 Úvod'!$J$18,'6 Úspory ND'!L42,0)</f>
        <v>0</v>
      </c>
      <c r="N6" s="230">
        <f>IF(N2&lt;='0 Úvod'!$G$18+'0 Úvod'!$J$18,'6 Úspory ND'!M42,0)</f>
        <v>0</v>
      </c>
      <c r="O6" s="230">
        <f>IF(O2&lt;='0 Úvod'!$G$18+'0 Úvod'!$J$18,'6 Úspory ND'!N42,0)</f>
        <v>0</v>
      </c>
      <c r="P6" s="230">
        <f>IF(P2&lt;='0 Úvod'!$G$18+'0 Úvod'!$J$18,'6 Úspory ND'!O42,0)</f>
        <v>0</v>
      </c>
      <c r="Q6" s="230">
        <f>IF(Q2&lt;='0 Úvod'!$G$18+'0 Úvod'!$J$18,'6 Úspory ND'!P42,0)</f>
        <v>0</v>
      </c>
      <c r="R6" s="230">
        <f>IF(R2&lt;='0 Úvod'!$G$18+'0 Úvod'!$J$18,'6 Úspory ND'!Q42,0)</f>
        <v>0</v>
      </c>
      <c r="S6" s="230">
        <f>IF(S2&lt;='0 Úvod'!$G$18+'0 Úvod'!$J$18,'6 Úspory ND'!R42,0)</f>
        <v>0</v>
      </c>
      <c r="T6" s="230">
        <f>IF(T2&lt;='0 Úvod'!$G$18+'0 Úvod'!$J$18,'6 Úspory ND'!S42,0)</f>
        <v>0</v>
      </c>
      <c r="U6" s="230">
        <f>IF(U2&lt;='0 Úvod'!$G$18+'0 Úvod'!$J$18,'6 Úspory ND'!T42,0)</f>
        <v>0</v>
      </c>
      <c r="V6" s="230">
        <f>IF(V2&lt;='0 Úvod'!$G$18+'0 Úvod'!$J$18,'6 Úspory ND'!U42,0)</f>
        <v>0</v>
      </c>
      <c r="W6" s="230">
        <f>IF(W2&lt;='0 Úvod'!$G$18+'0 Úvod'!$J$18,'6 Úspory ND'!V42,0)</f>
        <v>0</v>
      </c>
      <c r="X6" s="230">
        <f>IF(X2&lt;='0 Úvod'!$G$18+'0 Úvod'!$J$18,'6 Úspory ND'!W42,0)</f>
        <v>0</v>
      </c>
      <c r="Y6" s="230">
        <f>IF(Y2&lt;='0 Úvod'!$G$18+'0 Úvod'!$J$18,'6 Úspory ND'!X42,0)</f>
        <v>0</v>
      </c>
      <c r="Z6" s="230">
        <f>IF(Z2&lt;='0 Úvod'!$G$18+'0 Úvod'!$J$18,'6 Úspory ND'!Y42,0)</f>
        <v>0</v>
      </c>
      <c r="AA6" s="230">
        <f>IF(AA2&lt;='0 Úvod'!$G$18+'0 Úvod'!$J$18,'6 Úspory ND'!Z42,0)</f>
        <v>0</v>
      </c>
      <c r="AB6" s="230">
        <f>IF(AB2&lt;='0 Úvod'!$G$18+'0 Úvod'!$J$18,'6 Úspory ND'!AA42,0)</f>
        <v>0</v>
      </c>
      <c r="AC6" s="230">
        <f>IF(AC2&lt;='0 Úvod'!$G$18+'0 Úvod'!$J$18,'6 Úspory ND'!AB42,0)</f>
        <v>0</v>
      </c>
      <c r="AD6" s="497">
        <f>IF(AD2&lt;='0 Úvod'!$G$18+'0 Úvod'!$J$18,'6 Úspory ND'!AC42,0)</f>
        <v>0</v>
      </c>
    </row>
    <row r="7" spans="1:30" ht="12">
      <c r="A7" s="228"/>
      <c r="B7" s="849" t="s">
        <v>121</v>
      </c>
      <c r="C7" s="857" t="str">
        <f>IF('0 Úvod'!$M$3="English",Slovnik!D296,Slovnik!C296)</f>
        <v>Celkem externality</v>
      </c>
      <c r="D7" s="236">
        <f>SUM(F7:AD7,F23:AD23)</f>
        <v>0</v>
      </c>
      <c r="E7" s="873"/>
      <c r="F7" s="230">
        <f>IF(F2&lt;='0 Úvod'!$G$18+'0 Úvod'!$J$18-1,'7 Externality'!E62,0)</f>
        <v>0</v>
      </c>
      <c r="G7" s="230">
        <f>IF(G2&lt;='0 Úvod'!$G$18+'0 Úvod'!$J$18,'7 Externality'!F62,0)</f>
        <v>0</v>
      </c>
      <c r="H7" s="230">
        <f>IF(H2&lt;='0 Úvod'!$G$18+'0 Úvod'!$J$18,'7 Externality'!G62,0)</f>
        <v>0</v>
      </c>
      <c r="I7" s="230">
        <f>IF(I2&lt;='0 Úvod'!$G$18+'0 Úvod'!$J$18,'7 Externality'!H62,0)</f>
        <v>0</v>
      </c>
      <c r="J7" s="230">
        <f>IF(J2&lt;='0 Úvod'!$G$18+'0 Úvod'!$J$18,'7 Externality'!I62,0)</f>
        <v>0</v>
      </c>
      <c r="K7" s="230">
        <f>IF(K2&lt;='0 Úvod'!$G$18+'0 Úvod'!$J$18,'7 Externality'!J62,0)</f>
        <v>0</v>
      </c>
      <c r="L7" s="230">
        <f>IF(L2&lt;='0 Úvod'!$G$18+'0 Úvod'!$J$18,'7 Externality'!K62,0)</f>
        <v>0</v>
      </c>
      <c r="M7" s="230">
        <f>IF(M2&lt;='0 Úvod'!$G$18+'0 Úvod'!$J$18,'7 Externality'!L62,0)</f>
        <v>0</v>
      </c>
      <c r="N7" s="230">
        <f>IF(N2&lt;='0 Úvod'!$G$18+'0 Úvod'!$J$18,'7 Externality'!M62,0)</f>
        <v>0</v>
      </c>
      <c r="O7" s="230">
        <f>IF(O2&lt;='0 Úvod'!$G$18+'0 Úvod'!$J$18,'7 Externality'!N62,0)</f>
        <v>0</v>
      </c>
      <c r="P7" s="230">
        <f>IF(P2&lt;='0 Úvod'!$G$18+'0 Úvod'!$J$18,'7 Externality'!O62,0)</f>
        <v>0</v>
      </c>
      <c r="Q7" s="230">
        <f>IF(Q2&lt;='0 Úvod'!$G$18+'0 Úvod'!$J$18,'7 Externality'!P62,0)</f>
        <v>0</v>
      </c>
      <c r="R7" s="230">
        <f>IF(R2&lt;='0 Úvod'!$G$18+'0 Úvod'!$J$18,'7 Externality'!Q62,0)</f>
        <v>0</v>
      </c>
      <c r="S7" s="230">
        <f>IF(S2&lt;='0 Úvod'!$G$18+'0 Úvod'!$J$18,'7 Externality'!R62,0)</f>
        <v>0</v>
      </c>
      <c r="T7" s="230">
        <f>IF(T2&lt;='0 Úvod'!$G$18+'0 Úvod'!$J$18,'7 Externality'!S62,0)</f>
        <v>0</v>
      </c>
      <c r="U7" s="230">
        <f>IF(U2&lt;='0 Úvod'!$G$18+'0 Úvod'!$J$18,'7 Externality'!T62,0)</f>
        <v>0</v>
      </c>
      <c r="V7" s="230">
        <f>IF(V2&lt;='0 Úvod'!$G$18+'0 Úvod'!$J$18,'7 Externality'!U62,0)</f>
        <v>0</v>
      </c>
      <c r="W7" s="230">
        <f>IF(W2&lt;='0 Úvod'!$G$18+'0 Úvod'!$J$18,'7 Externality'!V62,0)</f>
        <v>0</v>
      </c>
      <c r="X7" s="230">
        <f>IF(X2&lt;='0 Úvod'!$G$18+'0 Úvod'!$J$18,'7 Externality'!W62,0)</f>
        <v>0</v>
      </c>
      <c r="Y7" s="230">
        <f>IF(Y2&lt;='0 Úvod'!$G$18+'0 Úvod'!$J$18,'7 Externality'!X62,0)</f>
        <v>0</v>
      </c>
      <c r="Z7" s="230">
        <f>IF(Z2&lt;='0 Úvod'!$G$18+'0 Úvod'!$J$18,'7 Externality'!Y62,0)</f>
        <v>0</v>
      </c>
      <c r="AA7" s="230">
        <f>IF(AA2&lt;='0 Úvod'!$G$18+'0 Úvod'!$J$18,'7 Externality'!Z62,0)</f>
        <v>0</v>
      </c>
      <c r="AB7" s="230">
        <f>IF(AB2&lt;='0 Úvod'!$G$18+'0 Úvod'!$J$18,'7 Externality'!AA62,0)</f>
        <v>0</v>
      </c>
      <c r="AC7" s="230">
        <f>IF(AC2&lt;='0 Úvod'!$G$18+'0 Úvod'!$J$18,'7 Externality'!AB62,0)</f>
        <v>0</v>
      </c>
      <c r="AD7" s="497">
        <f>IF(AD2&lt;='0 Úvod'!$G$18+'0 Úvod'!$J$18,'7 Externality'!AC62,0)</f>
        <v>0</v>
      </c>
    </row>
    <row r="8" spans="1:30" ht="12">
      <c r="A8" s="228"/>
      <c r="B8" s="849" t="s">
        <v>122</v>
      </c>
      <c r="C8" s="857" t="str">
        <f>IF('0 Úvod'!$M$3="English",Slovnik!D297,Slovnik!C297)</f>
        <v>Celkem efekty osobní a rekreační plavby</v>
      </c>
      <c r="D8" s="236">
        <f>SUM(F8:AD8,F24:AD24)</f>
        <v>0</v>
      </c>
      <c r="E8" s="873"/>
      <c r="F8" s="230">
        <f>IF(F2&lt;='0 Úvod'!$G$18+'0 Úvod'!$J$18-1,'8 Osobní a rekreační plavba'!E51,0)</f>
        <v>0</v>
      </c>
      <c r="G8" s="230">
        <f>IF(G2&lt;='0 Úvod'!$G$18+'0 Úvod'!$J$18,'8 Osobní a rekreační plavba'!F51,0)</f>
        <v>0</v>
      </c>
      <c r="H8" s="230">
        <f>IF(H2&lt;='0 Úvod'!$G$18+'0 Úvod'!$J$18,'8 Osobní a rekreační plavba'!G51,0)</f>
        <v>0</v>
      </c>
      <c r="I8" s="230">
        <f>IF(I2&lt;='0 Úvod'!$G$18+'0 Úvod'!$J$18,'8 Osobní a rekreační plavba'!H51,0)</f>
        <v>0</v>
      </c>
      <c r="J8" s="230">
        <f>IF(J2&lt;='0 Úvod'!$G$18+'0 Úvod'!$J$18,'8 Osobní a rekreační plavba'!I51,0)</f>
        <v>0</v>
      </c>
      <c r="K8" s="230">
        <f>IF(K2&lt;='0 Úvod'!$G$18+'0 Úvod'!$J$18,'8 Osobní a rekreační plavba'!J51,0)</f>
        <v>0</v>
      </c>
      <c r="L8" s="230">
        <f>IF(L2&lt;='0 Úvod'!$G$18+'0 Úvod'!$J$18,'8 Osobní a rekreační plavba'!K51,0)</f>
        <v>0</v>
      </c>
      <c r="M8" s="230">
        <f>IF(M2&lt;='0 Úvod'!$G$18+'0 Úvod'!$J$18,'8 Osobní a rekreační plavba'!L51,0)</f>
        <v>0</v>
      </c>
      <c r="N8" s="230">
        <f>IF(N2&lt;='0 Úvod'!$G$18+'0 Úvod'!$J$18,'8 Osobní a rekreační plavba'!M51,0)</f>
        <v>0</v>
      </c>
      <c r="O8" s="230">
        <f>IF(O2&lt;='0 Úvod'!$G$18+'0 Úvod'!$J$18,'8 Osobní a rekreační plavba'!N51,0)</f>
        <v>0</v>
      </c>
      <c r="P8" s="230">
        <f>IF(P2&lt;='0 Úvod'!$G$18+'0 Úvod'!$J$18,'8 Osobní a rekreační plavba'!O51,0)</f>
        <v>0</v>
      </c>
      <c r="Q8" s="230">
        <f>IF(Q2&lt;='0 Úvod'!$G$18+'0 Úvod'!$J$18,'8 Osobní a rekreační plavba'!P51,0)</f>
        <v>0</v>
      </c>
      <c r="R8" s="230">
        <f>IF(R2&lt;='0 Úvod'!$G$18+'0 Úvod'!$J$18,'8 Osobní a rekreační plavba'!Q51,0)</f>
        <v>0</v>
      </c>
      <c r="S8" s="230">
        <f>IF(S2&lt;='0 Úvod'!$G$18+'0 Úvod'!$J$18,'8 Osobní a rekreační plavba'!R51,0)</f>
        <v>0</v>
      </c>
      <c r="T8" s="230">
        <f>IF(T2&lt;='0 Úvod'!$G$18+'0 Úvod'!$J$18,'8 Osobní a rekreační plavba'!S51,0)</f>
        <v>0</v>
      </c>
      <c r="U8" s="230">
        <f>IF(U2&lt;='0 Úvod'!$G$18+'0 Úvod'!$J$18,'8 Osobní a rekreační plavba'!T51,0)</f>
        <v>0</v>
      </c>
      <c r="V8" s="230">
        <f>IF(V2&lt;='0 Úvod'!$G$18+'0 Úvod'!$J$18,'8 Osobní a rekreační plavba'!U51,0)</f>
        <v>0</v>
      </c>
      <c r="W8" s="230">
        <f>IF(W2&lt;='0 Úvod'!$G$18+'0 Úvod'!$J$18,'8 Osobní a rekreační plavba'!V51,0)</f>
        <v>0</v>
      </c>
      <c r="X8" s="230">
        <f>IF(X2&lt;='0 Úvod'!$G$18+'0 Úvod'!$J$18,'8 Osobní a rekreační plavba'!W51,0)</f>
        <v>0</v>
      </c>
      <c r="Y8" s="230">
        <f>IF(Y2&lt;='0 Úvod'!$G$18+'0 Úvod'!$J$18,'8 Osobní a rekreační plavba'!X51,0)</f>
        <v>0</v>
      </c>
      <c r="Z8" s="230">
        <f>IF(Z2&lt;='0 Úvod'!$G$18+'0 Úvod'!$J$18,'8 Osobní a rekreační plavba'!Y51,0)</f>
        <v>0</v>
      </c>
      <c r="AA8" s="230">
        <f>IF(AA2&lt;='0 Úvod'!$G$18+'0 Úvod'!$J$18,'8 Osobní a rekreační plavba'!Z51,0)</f>
        <v>0</v>
      </c>
      <c r="AB8" s="230">
        <f>IF(AB2&lt;='0 Úvod'!$G$18+'0 Úvod'!$J$18,'8 Osobní a rekreační plavba'!AA51,0)</f>
        <v>0</v>
      </c>
      <c r="AC8" s="230">
        <f>IF(AC2&lt;='0 Úvod'!$G$18+'0 Úvod'!$J$18,'8 Osobní a rekreační plavba'!AB51,0)</f>
        <v>0</v>
      </c>
      <c r="AD8" s="497">
        <f>IF(AD2&lt;='0 Úvod'!$G$18+'0 Úvod'!$J$18,'8 Osobní a rekreační plavba'!AC51,0)</f>
        <v>0</v>
      </c>
    </row>
    <row r="9" spans="1:30" ht="12">
      <c r="A9" s="228"/>
      <c r="B9" s="849" t="s">
        <v>145</v>
      </c>
      <c r="C9" s="859" t="str">
        <f>IF('0 Úvod'!$M$3="English",Slovnik!D298,Slovnik!C298)</f>
        <v>Ostatní přínosy a náklady projektu</v>
      </c>
      <c r="D9" s="236">
        <f>SUM(F9:AD9,F25:AD25)</f>
        <v>0</v>
      </c>
      <c r="E9" s="873"/>
      <c r="F9" s="230">
        <f>IF(F2&lt;='0 Úvod'!$G$18+'0 Úvod'!$J$18-1,'9 Ostatní'!E42,0)</f>
        <v>0</v>
      </c>
      <c r="G9" s="230">
        <f>IF(G2&lt;='0 Úvod'!$G$18+'0 Úvod'!$J$18-1,'9 Ostatní'!F42,0)</f>
        <v>0</v>
      </c>
      <c r="H9" s="230">
        <f>IF(H2&lt;='0 Úvod'!$G$18+'0 Úvod'!$J$18-1,'9 Ostatní'!G42,0)</f>
        <v>0</v>
      </c>
      <c r="I9" s="230">
        <f>IF(I2&lt;='0 Úvod'!$G$18+'0 Úvod'!$J$18-1,'9 Ostatní'!H42,0)</f>
        <v>0</v>
      </c>
      <c r="J9" s="230">
        <f>IF(J2&lt;='0 Úvod'!$G$18+'0 Úvod'!$J$18-1,'9 Ostatní'!I42,0)</f>
        <v>0</v>
      </c>
      <c r="K9" s="230">
        <f>IF(K2&lt;='0 Úvod'!$G$18+'0 Úvod'!$J$18-1,'9 Ostatní'!J42,0)</f>
        <v>0</v>
      </c>
      <c r="L9" s="230">
        <f>IF(L2&lt;='0 Úvod'!$G$18+'0 Úvod'!$J$18-1,'9 Ostatní'!K42,0)</f>
        <v>0</v>
      </c>
      <c r="M9" s="230">
        <f>IF(M2&lt;='0 Úvod'!$G$18+'0 Úvod'!$J$18-1,'9 Ostatní'!L42,0)</f>
        <v>0</v>
      </c>
      <c r="N9" s="230">
        <f>IF(N2&lt;='0 Úvod'!$G$18+'0 Úvod'!$J$18-1,'9 Ostatní'!M42,0)</f>
        <v>0</v>
      </c>
      <c r="O9" s="230">
        <f>IF(O2&lt;='0 Úvod'!$G$18+'0 Úvod'!$J$18-1,'9 Ostatní'!N42,0)</f>
        <v>0</v>
      </c>
      <c r="P9" s="230">
        <f>IF(P2&lt;='0 Úvod'!$G$18+'0 Úvod'!$J$18-1,'9 Ostatní'!O42,0)</f>
        <v>0</v>
      </c>
      <c r="Q9" s="230">
        <f>IF(Q2&lt;='0 Úvod'!$G$18+'0 Úvod'!$J$18-1,'9 Ostatní'!P42,0)</f>
        <v>0</v>
      </c>
      <c r="R9" s="230">
        <f>IF(R2&lt;='0 Úvod'!$G$18+'0 Úvod'!$J$18-1,'9 Ostatní'!Q42,0)</f>
        <v>0</v>
      </c>
      <c r="S9" s="230">
        <f>IF(S2&lt;='0 Úvod'!$G$18+'0 Úvod'!$J$18-1,'9 Ostatní'!R42,0)</f>
        <v>0</v>
      </c>
      <c r="T9" s="230">
        <f>IF(T2&lt;='0 Úvod'!$G$18+'0 Úvod'!$J$18-1,'9 Ostatní'!S42,0)</f>
        <v>0</v>
      </c>
      <c r="U9" s="230">
        <f>IF(U2&lt;='0 Úvod'!$G$18+'0 Úvod'!$J$18-1,'9 Ostatní'!T42,0)</f>
        <v>0</v>
      </c>
      <c r="V9" s="230">
        <f>IF(V2&lt;='0 Úvod'!$G$18+'0 Úvod'!$J$18-1,'9 Ostatní'!U42,0)</f>
        <v>0</v>
      </c>
      <c r="W9" s="230">
        <f>IF(W2&lt;='0 Úvod'!$G$18+'0 Úvod'!$J$18-1,'9 Ostatní'!V42,0)</f>
        <v>0</v>
      </c>
      <c r="X9" s="230">
        <f>IF(X2&lt;='0 Úvod'!$G$18+'0 Úvod'!$J$18-1,'9 Ostatní'!W42,0)</f>
        <v>0</v>
      </c>
      <c r="Y9" s="230">
        <f>IF(Y2&lt;='0 Úvod'!$G$18+'0 Úvod'!$J$18-1,'9 Ostatní'!X42,0)</f>
        <v>0</v>
      </c>
      <c r="Z9" s="230">
        <f>IF(Z2&lt;='0 Úvod'!$G$18+'0 Úvod'!$J$18-1,'9 Ostatní'!Y42,0)</f>
        <v>0</v>
      </c>
      <c r="AA9" s="230">
        <f>IF(AA2&lt;='0 Úvod'!$G$18+'0 Úvod'!$J$18-1,'9 Ostatní'!Z42,0)</f>
        <v>0</v>
      </c>
      <c r="AB9" s="230">
        <f>IF(AB2&lt;='0 Úvod'!$G$18+'0 Úvod'!$J$18-1,'9 Ostatní'!AA42,0)</f>
        <v>0</v>
      </c>
      <c r="AC9" s="230">
        <f>IF(AC2&lt;='0 Úvod'!$G$18+'0 Úvod'!$J$18-1,'9 Ostatní'!AB42,0)</f>
        <v>0</v>
      </c>
      <c r="AD9" s="497">
        <f>IF(AD2&lt;='0 Úvod'!$G$18+'0 Úvod'!$J$18-1,'9 Ostatní'!AC42,0)</f>
        <v>0</v>
      </c>
    </row>
    <row r="10" spans="2:30" ht="12">
      <c r="B10" s="850"/>
      <c r="C10" s="860" t="str">
        <f>IF('0 Úvod'!$M$3="English",Slovnik!D299,Slovnik!C299)</f>
        <v>Celkové úspory</v>
      </c>
      <c r="D10" s="510">
        <f>SUM(F10:AD10,F26:AD26)</f>
        <v>0</v>
      </c>
      <c r="E10" s="874"/>
      <c r="F10" s="513">
        <f aca="true" t="shared" si="2" ref="F10:AD10">SUM(F4:F9)</f>
        <v>0</v>
      </c>
      <c r="G10" s="513">
        <f t="shared" si="2"/>
        <v>0</v>
      </c>
      <c r="H10" s="513">
        <f t="shared" si="2"/>
        <v>0</v>
      </c>
      <c r="I10" s="513">
        <f t="shared" si="2"/>
        <v>0</v>
      </c>
      <c r="J10" s="513">
        <f t="shared" si="2"/>
        <v>0</v>
      </c>
      <c r="K10" s="513">
        <f t="shared" si="2"/>
        <v>0</v>
      </c>
      <c r="L10" s="513">
        <f t="shared" si="2"/>
        <v>0</v>
      </c>
      <c r="M10" s="513">
        <f t="shared" si="2"/>
        <v>0</v>
      </c>
      <c r="N10" s="513">
        <f t="shared" si="2"/>
        <v>0</v>
      </c>
      <c r="O10" s="513">
        <f t="shared" si="2"/>
        <v>0</v>
      </c>
      <c r="P10" s="513">
        <f t="shared" si="2"/>
        <v>0</v>
      </c>
      <c r="Q10" s="513">
        <f t="shared" si="2"/>
        <v>0</v>
      </c>
      <c r="R10" s="513">
        <f t="shared" si="2"/>
        <v>0</v>
      </c>
      <c r="S10" s="513">
        <f t="shared" si="2"/>
        <v>0</v>
      </c>
      <c r="T10" s="513">
        <f t="shared" si="2"/>
        <v>0</v>
      </c>
      <c r="U10" s="513">
        <f t="shared" si="2"/>
        <v>0</v>
      </c>
      <c r="V10" s="513">
        <f t="shared" si="2"/>
        <v>0</v>
      </c>
      <c r="W10" s="513">
        <f t="shared" si="2"/>
        <v>0</v>
      </c>
      <c r="X10" s="513">
        <f t="shared" si="2"/>
        <v>0</v>
      </c>
      <c r="Y10" s="513">
        <f t="shared" si="2"/>
        <v>0</v>
      </c>
      <c r="Z10" s="513">
        <f t="shared" si="2"/>
        <v>0</v>
      </c>
      <c r="AA10" s="513">
        <f t="shared" si="2"/>
        <v>0</v>
      </c>
      <c r="AB10" s="513">
        <f t="shared" si="2"/>
        <v>0</v>
      </c>
      <c r="AC10" s="513">
        <f t="shared" si="2"/>
        <v>0</v>
      </c>
      <c r="AD10" s="514">
        <f t="shared" si="2"/>
        <v>0</v>
      </c>
    </row>
    <row r="11" spans="1:30" ht="12">
      <c r="A11" s="228"/>
      <c r="B11" s="849" t="s">
        <v>116</v>
      </c>
      <c r="C11" s="857" t="str">
        <f>IF('0 Úvod'!$M$3="English",Slovnik!D300,Slovnik!C300)</f>
        <v>Celkem investiční náklady bez rezervy</v>
      </c>
      <c r="D11" s="236">
        <f>SUM(F11:AD11,F27:AD27)</f>
        <v>0</v>
      </c>
      <c r="E11" s="1178">
        <v>0.86</v>
      </c>
      <c r="F11" s="230">
        <f>'1 CIN'!G10*$E$11</f>
        <v>0</v>
      </c>
      <c r="G11" s="230">
        <f>'1 CIN'!H10*$E$11</f>
        <v>0</v>
      </c>
      <c r="H11" s="230">
        <f>'1 CIN'!I10*$E$11</f>
        <v>0</v>
      </c>
      <c r="I11" s="230">
        <f>'1 CIN'!J10*$E$11</f>
        <v>0</v>
      </c>
      <c r="J11" s="230">
        <f>'1 CIN'!K10*$E$11</f>
        <v>0</v>
      </c>
      <c r="K11" s="230">
        <f>'1 CIN'!L10*$E$11</f>
        <v>0</v>
      </c>
      <c r="L11" s="230">
        <f>'1 CIN'!M10*$E$11</f>
        <v>0</v>
      </c>
      <c r="M11" s="230">
        <f>'1 CIN'!N10*$E$11</f>
        <v>0</v>
      </c>
      <c r="N11" s="230">
        <f>'1 CIN'!O10*$E$11</f>
        <v>0</v>
      </c>
      <c r="O11" s="230">
        <f>'1 CIN'!P10*$E$11</f>
        <v>0</v>
      </c>
      <c r="P11" s="230">
        <f>'1 CIN'!Q10*$E$11</f>
        <v>0</v>
      </c>
      <c r="Q11" s="230">
        <f>'1 CIN'!R10*$E$11</f>
        <v>0</v>
      </c>
      <c r="R11" s="230">
        <f>'1 CIN'!S10*$E$11</f>
        <v>0</v>
      </c>
      <c r="S11" s="230">
        <f>'1 CIN'!T10*$E$11</f>
        <v>0</v>
      </c>
      <c r="T11" s="230">
        <f>'1 CIN'!U10*$E$11</f>
        <v>0</v>
      </c>
      <c r="U11" s="230">
        <f>'1 CIN'!V10*$E$11</f>
        <v>0</v>
      </c>
      <c r="V11" s="230">
        <f>'1 CIN'!W10*$E$11</f>
        <v>0</v>
      </c>
      <c r="W11" s="230">
        <f>'1 CIN'!X10*$E$11</f>
        <v>0</v>
      </c>
      <c r="X11" s="230">
        <f>'1 CIN'!Y10*$E$11</f>
        <v>0</v>
      </c>
      <c r="Y11" s="230">
        <f>'1 CIN'!Z10*$E$11</f>
        <v>0</v>
      </c>
      <c r="Z11" s="230">
        <f>'1 CIN'!AA10*$E$11</f>
        <v>0</v>
      </c>
      <c r="AA11" s="230">
        <f>'1 CIN'!AB10*$E$11</f>
        <v>0</v>
      </c>
      <c r="AB11" s="230">
        <f>'1 CIN'!AC10*$E$11</f>
        <v>0</v>
      </c>
      <c r="AC11" s="230">
        <f>'1 CIN'!AD10*$E$11</f>
        <v>0</v>
      </c>
      <c r="AD11" s="497">
        <f>'1 CIN'!AE10*$E$11</f>
        <v>0</v>
      </c>
    </row>
    <row r="12" spans="1:30" ht="12">
      <c r="A12" s="228"/>
      <c r="B12" s="849" t="s">
        <v>117</v>
      </c>
      <c r="C12" s="857" t="str">
        <f>IF('0 Úvod'!$M$3="English",Slovnik!D301,Slovnik!C301)</f>
        <v>Zůstatková hodnota (záporná)</v>
      </c>
      <c r="D12" s="236">
        <f>SUM(F12:AD12,F28:AD28)</f>
        <v>0</v>
      </c>
      <c r="E12" s="1178">
        <v>0.86</v>
      </c>
      <c r="F12" s="230">
        <f>'2 ZH'!E18*$E$12*-1</f>
        <v>0</v>
      </c>
      <c r="G12" s="230">
        <f>'2 ZH'!F18*$E$12*-1</f>
        <v>0</v>
      </c>
      <c r="H12" s="230">
        <f>'2 ZH'!G18*$E$12*-1</f>
        <v>0</v>
      </c>
      <c r="I12" s="230">
        <f>'2 ZH'!H18*$E$12*-1</f>
        <v>0</v>
      </c>
      <c r="J12" s="230">
        <f>'2 ZH'!I18*$E$12*-1</f>
        <v>0</v>
      </c>
      <c r="K12" s="230">
        <f>'2 ZH'!J18*$E$12*-1</f>
        <v>0</v>
      </c>
      <c r="L12" s="230">
        <f>'2 ZH'!K18*$E$12*-1</f>
        <v>0</v>
      </c>
      <c r="M12" s="230">
        <f>'2 ZH'!L18*$E$12*-1</f>
        <v>0</v>
      </c>
      <c r="N12" s="230">
        <f>'2 ZH'!M18*$E$12*-1</f>
        <v>0</v>
      </c>
      <c r="O12" s="230">
        <f>'2 ZH'!N18*$E$12*-1</f>
        <v>0</v>
      </c>
      <c r="P12" s="230">
        <f>'2 ZH'!O18*$E$12*-1</f>
        <v>0</v>
      </c>
      <c r="Q12" s="230">
        <f>'2 ZH'!P18*$E$12*-1</f>
        <v>0</v>
      </c>
      <c r="R12" s="230">
        <f>'2 ZH'!Q18*$E$12*-1</f>
        <v>0</v>
      </c>
      <c r="S12" s="230">
        <f>'2 ZH'!R18*$E$12*-1</f>
        <v>0</v>
      </c>
      <c r="T12" s="230">
        <f>'2 ZH'!S18*$E$12*-1</f>
        <v>0</v>
      </c>
      <c r="U12" s="230">
        <f>'2 ZH'!T18*$E$12*-1</f>
        <v>0</v>
      </c>
      <c r="V12" s="230">
        <f>'2 ZH'!U18*$E$12*-1</f>
        <v>0</v>
      </c>
      <c r="W12" s="230">
        <f>'2 ZH'!V18*$E$12*-1</f>
        <v>0</v>
      </c>
      <c r="X12" s="230">
        <f>'2 ZH'!W18*$E$12*-1</f>
        <v>0</v>
      </c>
      <c r="Y12" s="230">
        <f>'2 ZH'!X18*$E$12*-1</f>
        <v>0</v>
      </c>
      <c r="Z12" s="230">
        <f>'2 ZH'!Y18*$E$12*-1</f>
        <v>0</v>
      </c>
      <c r="AA12" s="230">
        <f>'2 ZH'!Z18*$E$12*-1</f>
        <v>0</v>
      </c>
      <c r="AB12" s="230">
        <f>'2 ZH'!AA18*$E$12*-1</f>
        <v>0</v>
      </c>
      <c r="AC12" s="230">
        <f>'2 ZH'!AB18*$E$12*-1</f>
        <v>0</v>
      </c>
      <c r="AD12" s="497">
        <f>'2 ZH'!AC18*$E$12*-1</f>
        <v>0</v>
      </c>
    </row>
    <row r="13" spans="2:30" ht="12">
      <c r="B13" s="851"/>
      <c r="C13" s="864" t="str">
        <f>IF('0 Úvod'!$M$3="English",Slovnik!D302,Slovnik!C302)</f>
        <v>Celkové náklady</v>
      </c>
      <c r="D13" s="510">
        <f>SUM(D11:D12)</f>
        <v>0</v>
      </c>
      <c r="E13" s="874"/>
      <c r="F13" s="511">
        <f aca="true" t="shared" si="3" ref="F13:AD13">SUM(F11:F12)</f>
        <v>0</v>
      </c>
      <c r="G13" s="511">
        <f t="shared" si="3"/>
        <v>0</v>
      </c>
      <c r="H13" s="511">
        <f t="shared" si="3"/>
        <v>0</v>
      </c>
      <c r="I13" s="511">
        <f t="shared" si="3"/>
        <v>0</v>
      </c>
      <c r="J13" s="511">
        <f t="shared" si="3"/>
        <v>0</v>
      </c>
      <c r="K13" s="511">
        <f t="shared" si="3"/>
        <v>0</v>
      </c>
      <c r="L13" s="511">
        <f t="shared" si="3"/>
        <v>0</v>
      </c>
      <c r="M13" s="511">
        <f t="shared" si="3"/>
        <v>0</v>
      </c>
      <c r="N13" s="511">
        <f t="shared" si="3"/>
        <v>0</v>
      </c>
      <c r="O13" s="511">
        <f t="shared" si="3"/>
        <v>0</v>
      </c>
      <c r="P13" s="511">
        <f t="shared" si="3"/>
        <v>0</v>
      </c>
      <c r="Q13" s="511">
        <f t="shared" si="3"/>
        <v>0</v>
      </c>
      <c r="R13" s="511">
        <f t="shared" si="3"/>
        <v>0</v>
      </c>
      <c r="S13" s="511">
        <f t="shared" si="3"/>
        <v>0</v>
      </c>
      <c r="T13" s="511">
        <f t="shared" si="3"/>
        <v>0</v>
      </c>
      <c r="U13" s="511">
        <f t="shared" si="3"/>
        <v>0</v>
      </c>
      <c r="V13" s="511">
        <f t="shared" si="3"/>
        <v>0</v>
      </c>
      <c r="W13" s="511">
        <f t="shared" si="3"/>
        <v>0</v>
      </c>
      <c r="X13" s="511">
        <f t="shared" si="3"/>
        <v>0</v>
      </c>
      <c r="Y13" s="511">
        <f t="shared" si="3"/>
        <v>0</v>
      </c>
      <c r="Z13" s="511">
        <f t="shared" si="3"/>
        <v>0</v>
      </c>
      <c r="AA13" s="511">
        <f t="shared" si="3"/>
        <v>0</v>
      </c>
      <c r="AB13" s="511">
        <f t="shared" si="3"/>
        <v>0</v>
      </c>
      <c r="AC13" s="511">
        <f t="shared" si="3"/>
        <v>0</v>
      </c>
      <c r="AD13" s="512">
        <f t="shared" si="3"/>
        <v>0</v>
      </c>
    </row>
    <row r="14" spans="2:45" ht="12">
      <c r="B14" s="852"/>
      <c r="C14" s="858" t="str">
        <f>IF('0 Úvod'!$M$3="English",Slovnik!D303,Slovnik!C303)</f>
        <v>Cash Flow </v>
      </c>
      <c r="D14" s="507">
        <f>SUM(F14:AD14,F30:AD30)</f>
        <v>0</v>
      </c>
      <c r="E14" s="879"/>
      <c r="F14" s="231">
        <f aca="true" t="shared" si="4" ref="F14:AD14">F10-F13</f>
        <v>0</v>
      </c>
      <c r="G14" s="231">
        <f t="shared" si="4"/>
        <v>0</v>
      </c>
      <c r="H14" s="231">
        <f t="shared" si="4"/>
        <v>0</v>
      </c>
      <c r="I14" s="231">
        <f t="shared" si="4"/>
        <v>0</v>
      </c>
      <c r="J14" s="231">
        <f t="shared" si="4"/>
        <v>0</v>
      </c>
      <c r="K14" s="231">
        <f t="shared" si="4"/>
        <v>0</v>
      </c>
      <c r="L14" s="231">
        <f t="shared" si="4"/>
        <v>0</v>
      </c>
      <c r="M14" s="231">
        <f t="shared" si="4"/>
        <v>0</v>
      </c>
      <c r="N14" s="231">
        <f t="shared" si="4"/>
        <v>0</v>
      </c>
      <c r="O14" s="231">
        <f t="shared" si="4"/>
        <v>0</v>
      </c>
      <c r="P14" s="231">
        <f t="shared" si="4"/>
        <v>0</v>
      </c>
      <c r="Q14" s="231">
        <f t="shared" si="4"/>
        <v>0</v>
      </c>
      <c r="R14" s="231">
        <f t="shared" si="4"/>
        <v>0</v>
      </c>
      <c r="S14" s="231">
        <f t="shared" si="4"/>
        <v>0</v>
      </c>
      <c r="T14" s="231">
        <f t="shared" si="4"/>
        <v>0</v>
      </c>
      <c r="U14" s="231">
        <f t="shared" si="4"/>
        <v>0</v>
      </c>
      <c r="V14" s="231">
        <f t="shared" si="4"/>
        <v>0</v>
      </c>
      <c r="W14" s="231">
        <f t="shared" si="4"/>
        <v>0</v>
      </c>
      <c r="X14" s="231">
        <f t="shared" si="4"/>
        <v>0</v>
      </c>
      <c r="Y14" s="231">
        <f t="shared" si="4"/>
        <v>0</v>
      </c>
      <c r="Z14" s="231">
        <f t="shared" si="4"/>
        <v>0</v>
      </c>
      <c r="AA14" s="231">
        <f t="shared" si="4"/>
        <v>0</v>
      </c>
      <c r="AB14" s="231">
        <f t="shared" si="4"/>
        <v>0</v>
      </c>
      <c r="AC14" s="231">
        <f t="shared" si="4"/>
        <v>0</v>
      </c>
      <c r="AD14" s="498">
        <f t="shared" si="4"/>
        <v>0</v>
      </c>
      <c r="AE14" s="232"/>
      <c r="AF14" s="232"/>
      <c r="AG14" s="232"/>
      <c r="AH14" s="232"/>
      <c r="AI14" s="232"/>
      <c r="AJ14" s="232"/>
      <c r="AK14" s="232"/>
      <c r="AL14" s="232"/>
      <c r="AM14" s="232"/>
      <c r="AN14" s="232"/>
      <c r="AO14" s="232"/>
      <c r="AP14" s="232"/>
      <c r="AQ14" s="232"/>
      <c r="AR14" s="232"/>
      <c r="AS14" s="232"/>
    </row>
    <row r="15" spans="1:30" ht="12">
      <c r="A15" s="233"/>
      <c r="B15" s="853"/>
      <c r="C15" s="867" t="str">
        <f>IF('0 Úvod'!$M$3="English",Slovnik!D304,Slovnik!C304)</f>
        <v>Diskontní sazba</v>
      </c>
      <c r="D15" s="508">
        <f>'0 Úvod'!D18</f>
        <v>0.055</v>
      </c>
      <c r="E15" s="880"/>
      <c r="F15" s="234">
        <v>1</v>
      </c>
      <c r="G15" s="234">
        <f>F15/(1+$D$15)</f>
        <v>0.9478672985781991</v>
      </c>
      <c r="H15" s="234">
        <f aca="true" t="shared" si="5" ref="H15:T15">G15/(1+$D$15)</f>
        <v>0.8984524157139329</v>
      </c>
      <c r="I15" s="234">
        <f t="shared" si="5"/>
        <v>0.8516136641838227</v>
      </c>
      <c r="J15" s="234">
        <f t="shared" si="5"/>
        <v>0.8072167433022016</v>
      </c>
      <c r="K15" s="234">
        <f t="shared" si="5"/>
        <v>0.7651343538409494</v>
      </c>
      <c r="L15" s="234">
        <f t="shared" si="5"/>
        <v>0.7252458330245967</v>
      </c>
      <c r="M15" s="234">
        <f t="shared" si="5"/>
        <v>0.6874368085541201</v>
      </c>
      <c r="N15" s="234">
        <f t="shared" si="5"/>
        <v>0.6515988706674125</v>
      </c>
      <c r="O15" s="234">
        <f t="shared" si="5"/>
        <v>0.6176292612961256</v>
      </c>
      <c r="P15" s="234">
        <f t="shared" si="5"/>
        <v>0.5854305794276072</v>
      </c>
      <c r="Q15" s="234">
        <f t="shared" si="5"/>
        <v>0.5549105018271159</v>
      </c>
      <c r="R15" s="234">
        <f t="shared" si="5"/>
        <v>0.5259815183195411</v>
      </c>
      <c r="S15" s="234">
        <f t="shared" si="5"/>
        <v>0.498560680871603</v>
      </c>
      <c r="T15" s="234">
        <f t="shared" si="5"/>
        <v>0.47256936575507397</v>
      </c>
      <c r="U15" s="234">
        <f aca="true" t="shared" si="6" ref="U15:AD15">T15/(1+$D$15)</f>
        <v>0.44793304810907486</v>
      </c>
      <c r="V15" s="234">
        <f t="shared" si="6"/>
        <v>0.4245810882550473</v>
      </c>
      <c r="W15" s="234">
        <f t="shared" si="6"/>
        <v>0.40244652915170365</v>
      </c>
      <c r="X15" s="234">
        <f t="shared" si="6"/>
        <v>0.3814659044091978</v>
      </c>
      <c r="Y15" s="234">
        <f t="shared" si="6"/>
        <v>0.36157905631203585</v>
      </c>
      <c r="Z15" s="234">
        <f t="shared" si="6"/>
        <v>0.342728963328944</v>
      </c>
      <c r="AA15" s="234">
        <f t="shared" si="6"/>
        <v>0.3248615766151128</v>
      </c>
      <c r="AB15" s="234">
        <f t="shared" si="6"/>
        <v>0.3079256650380216</v>
      </c>
      <c r="AC15" s="234">
        <f t="shared" si="6"/>
        <v>0.2918726682824849</v>
      </c>
      <c r="AD15" s="502">
        <f t="shared" si="6"/>
        <v>0.2766565576137298</v>
      </c>
    </row>
    <row r="16" spans="1:30" s="232" customFormat="1" ht="12.75" thickBot="1">
      <c r="A16" s="231"/>
      <c r="B16" s="854"/>
      <c r="C16" s="870" t="str">
        <f>IF('0 Úvod'!$M$3="English",Slovnik!D305,Slovnik!C305)</f>
        <v>Diskontní cash flow</v>
      </c>
      <c r="D16" s="509">
        <f>SUM(F16:AD16,F32:AD32)</f>
        <v>0</v>
      </c>
      <c r="E16" s="881"/>
      <c r="F16" s="500">
        <f>F14*F15</f>
        <v>0</v>
      </c>
      <c r="G16" s="500">
        <f aca="true" t="shared" si="7" ref="G16:AC16">G14*G15</f>
        <v>0</v>
      </c>
      <c r="H16" s="500">
        <f t="shared" si="7"/>
        <v>0</v>
      </c>
      <c r="I16" s="500">
        <f t="shared" si="7"/>
        <v>0</v>
      </c>
      <c r="J16" s="500">
        <f t="shared" si="7"/>
        <v>0</v>
      </c>
      <c r="K16" s="500">
        <f t="shared" si="7"/>
        <v>0</v>
      </c>
      <c r="L16" s="500">
        <f t="shared" si="7"/>
        <v>0</v>
      </c>
      <c r="M16" s="500">
        <f t="shared" si="7"/>
        <v>0</v>
      </c>
      <c r="N16" s="500">
        <f t="shared" si="7"/>
        <v>0</v>
      </c>
      <c r="O16" s="500">
        <f t="shared" si="7"/>
        <v>0</v>
      </c>
      <c r="P16" s="500">
        <f t="shared" si="7"/>
        <v>0</v>
      </c>
      <c r="Q16" s="500">
        <f t="shared" si="7"/>
        <v>0</v>
      </c>
      <c r="R16" s="500">
        <f t="shared" si="7"/>
        <v>0</v>
      </c>
      <c r="S16" s="500">
        <f t="shared" si="7"/>
        <v>0</v>
      </c>
      <c r="T16" s="500">
        <f t="shared" si="7"/>
        <v>0</v>
      </c>
      <c r="U16" s="500">
        <f t="shared" si="7"/>
        <v>0</v>
      </c>
      <c r="V16" s="500">
        <f t="shared" si="7"/>
        <v>0</v>
      </c>
      <c r="W16" s="500">
        <f t="shared" si="7"/>
        <v>0</v>
      </c>
      <c r="X16" s="500">
        <f t="shared" si="7"/>
        <v>0</v>
      </c>
      <c r="Y16" s="500">
        <f t="shared" si="7"/>
        <v>0</v>
      </c>
      <c r="Z16" s="500">
        <f t="shared" si="7"/>
        <v>0</v>
      </c>
      <c r="AA16" s="500">
        <f t="shared" si="7"/>
        <v>0</v>
      </c>
      <c r="AB16" s="500">
        <f t="shared" si="7"/>
        <v>0</v>
      </c>
      <c r="AC16" s="500">
        <f t="shared" si="7"/>
        <v>0</v>
      </c>
      <c r="AD16" s="501">
        <f>AD14*AD15</f>
        <v>0</v>
      </c>
    </row>
    <row r="17" spans="1:29" ht="13.5" customHeight="1" thickBot="1">
      <c r="A17" s="226"/>
      <c r="B17" s="226"/>
      <c r="C17" s="235"/>
      <c r="D17" s="226"/>
      <c r="E17" s="226"/>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row>
    <row r="18" spans="2:30" ht="12.75">
      <c r="B18" s="503" t="str">
        <f>B2</f>
        <v>10.1. </v>
      </c>
      <c r="C18" s="515" t="str">
        <f>C2</f>
        <v>Ekonomická analýza</v>
      </c>
      <c r="D18" s="516"/>
      <c r="E18" s="1498" t="s">
        <v>130</v>
      </c>
      <c r="F18" s="1323">
        <f>AD2+1</f>
        <v>2039</v>
      </c>
      <c r="G18" s="1323">
        <f aca="true" t="shared" si="8" ref="G18:T18">F18+1</f>
        <v>2040</v>
      </c>
      <c r="H18" s="1323">
        <f t="shared" si="8"/>
        <v>2041</v>
      </c>
      <c r="I18" s="1323">
        <f t="shared" si="8"/>
        <v>2042</v>
      </c>
      <c r="J18" s="1323">
        <f t="shared" si="8"/>
        <v>2043</v>
      </c>
      <c r="K18" s="1323">
        <f t="shared" si="8"/>
        <v>2044</v>
      </c>
      <c r="L18" s="1323">
        <f t="shared" si="8"/>
        <v>2045</v>
      </c>
      <c r="M18" s="1323">
        <f t="shared" si="8"/>
        <v>2046</v>
      </c>
      <c r="N18" s="1323">
        <f t="shared" si="8"/>
        <v>2047</v>
      </c>
      <c r="O18" s="1323">
        <f t="shared" si="8"/>
        <v>2048</v>
      </c>
      <c r="P18" s="1323">
        <f t="shared" si="8"/>
        <v>2049</v>
      </c>
      <c r="Q18" s="1323">
        <f t="shared" si="8"/>
        <v>2050</v>
      </c>
      <c r="R18" s="1323">
        <f t="shared" si="8"/>
        <v>2051</v>
      </c>
      <c r="S18" s="1323">
        <f t="shared" si="8"/>
        <v>2052</v>
      </c>
      <c r="T18" s="1323">
        <f t="shared" si="8"/>
        <v>2053</v>
      </c>
      <c r="U18" s="1323">
        <f aca="true" t="shared" si="9" ref="U18:AD18">T18+1</f>
        <v>2054</v>
      </c>
      <c r="V18" s="1323">
        <f t="shared" si="9"/>
        <v>2055</v>
      </c>
      <c r="W18" s="1323">
        <f t="shared" si="9"/>
        <v>2056</v>
      </c>
      <c r="X18" s="1323">
        <f t="shared" si="9"/>
        <v>2057</v>
      </c>
      <c r="Y18" s="1323">
        <f t="shared" si="9"/>
        <v>2058</v>
      </c>
      <c r="Z18" s="1323">
        <f t="shared" si="9"/>
        <v>2059</v>
      </c>
      <c r="AA18" s="1323">
        <f t="shared" si="9"/>
        <v>2060</v>
      </c>
      <c r="AB18" s="1323">
        <f t="shared" si="9"/>
        <v>2061</v>
      </c>
      <c r="AC18" s="1323">
        <f t="shared" si="9"/>
        <v>2062</v>
      </c>
      <c r="AD18" s="1325">
        <f t="shared" si="9"/>
        <v>2063</v>
      </c>
    </row>
    <row r="19" spans="1:30" ht="13.5" thickBot="1">
      <c r="A19" s="228"/>
      <c r="B19" s="504" t="s">
        <v>19</v>
      </c>
      <c r="C19" s="505"/>
      <c r="D19" s="488"/>
      <c r="E19" s="1499"/>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6"/>
    </row>
    <row r="20" spans="1:30" ht="12">
      <c r="A20" s="228"/>
      <c r="B20" s="848" t="str">
        <f aca="true" t="shared" si="10" ref="B20:C25">B4</f>
        <v>3.</v>
      </c>
      <c r="C20" s="855" t="str">
        <f t="shared" si="10"/>
        <v>Celkem náklady infrastruktury</v>
      </c>
      <c r="D20" s="856"/>
      <c r="E20" s="872"/>
      <c r="F20" s="835">
        <f>IF(F18&lt;='0 Úvod'!$G$18+'0 Úvod'!$J$18-1,-'3 Náklady I'!E75,0)</f>
        <v>0</v>
      </c>
      <c r="G20" s="835">
        <f>IF(G18&lt;='0 Úvod'!$G$18+'0 Úvod'!$J$18-1,-'3 Náklady I'!F75,0)</f>
        <v>0</v>
      </c>
      <c r="H20" s="835">
        <f>IF(H18&lt;='0 Úvod'!$G$18+'0 Úvod'!$J$18-1,-'3 Náklady I'!G75,0)</f>
        <v>0</v>
      </c>
      <c r="I20" s="835">
        <f>IF(I18&lt;='0 Úvod'!$G$18+'0 Úvod'!$J$18-1,-'3 Náklady I'!H75,0)</f>
        <v>0</v>
      </c>
      <c r="J20" s="835">
        <f>IF(J18&lt;='0 Úvod'!$G$18+'0 Úvod'!$J$18-1,-'3 Náklady I'!I75,0)</f>
        <v>0</v>
      </c>
      <c r="K20" s="835">
        <f>IF(K18&lt;='0 Úvod'!$G$18+'0 Úvod'!$J$18-1,-'3 Náklady I'!J75,0)</f>
        <v>0</v>
      </c>
      <c r="L20" s="835">
        <f>IF(L18&lt;='0 Úvod'!$G$18+'0 Úvod'!$J$18-1,-'3 Náklady I'!K75,0)</f>
        <v>0</v>
      </c>
      <c r="M20" s="835">
        <f>IF(M18&lt;='0 Úvod'!$G$18+'0 Úvod'!$J$18-1,-'3 Náklady I'!L75,0)</f>
        <v>0</v>
      </c>
      <c r="N20" s="835">
        <f>IF(N18&lt;='0 Úvod'!$G$18+'0 Úvod'!$J$18-1,-'3 Náklady I'!M75,0)</f>
        <v>0</v>
      </c>
      <c r="O20" s="835">
        <f>IF(O18&lt;='0 Úvod'!$G$18+'0 Úvod'!$J$18-1,-'3 Náklady I'!N75,0)</f>
        <v>0</v>
      </c>
      <c r="P20" s="835">
        <f>IF(P18&lt;='0 Úvod'!$G$18+'0 Úvod'!$J$18-1,-'3 Náklady I'!O75,0)</f>
        <v>0</v>
      </c>
      <c r="Q20" s="835">
        <f>IF(Q18&lt;='0 Úvod'!$G$18+'0 Úvod'!$J$18-1,-'3 Náklady I'!P75,0)</f>
        <v>0</v>
      </c>
      <c r="R20" s="835">
        <f>IF(R18&lt;='0 Úvod'!$G$18+'0 Úvod'!$J$18-1,-'3 Náklady I'!Q75,0)</f>
        <v>0</v>
      </c>
      <c r="S20" s="835">
        <f>IF(S18&lt;='0 Úvod'!$G$18+'0 Úvod'!$J$18-1,-'3 Náklady I'!R75,0)</f>
        <v>0</v>
      </c>
      <c r="T20" s="835">
        <f>IF(T18&lt;='0 Úvod'!$G$18+'0 Úvod'!$J$18-1,-'3 Náklady I'!S75,0)</f>
        <v>0</v>
      </c>
      <c r="U20" s="835">
        <f>IF(U18&lt;='0 Úvod'!$G$18+'0 Úvod'!$J$18-1,-'3 Náklady I'!T75,0)</f>
        <v>0</v>
      </c>
      <c r="V20" s="835">
        <f>IF(V18&lt;='0 Úvod'!$G$18+'0 Úvod'!$J$18-1,-'3 Náklady I'!U75,0)</f>
        <v>0</v>
      </c>
      <c r="W20" s="835">
        <f>IF(W18&lt;='0 Úvod'!$G$18+'0 Úvod'!$J$18-1,-'3 Náklady I'!V75,0)</f>
        <v>0</v>
      </c>
      <c r="X20" s="835">
        <f>IF(X18&lt;='0 Úvod'!$G$18+'0 Úvod'!$J$18-1,-'3 Náklady I'!W75,0)</f>
        <v>0</v>
      </c>
      <c r="Y20" s="835">
        <f>IF(Y18&lt;='0 Úvod'!$G$18+'0 Úvod'!$J$18-1,-'3 Náklady I'!X75,0)</f>
        <v>0</v>
      </c>
      <c r="Z20" s="835">
        <f>IF(Z18&lt;='0 Úvod'!$G$18+'0 Úvod'!$J$18-1,-'3 Náklady I'!Y75,0)</f>
        <v>0</v>
      </c>
      <c r="AA20" s="835">
        <f>IF(AA18&lt;='0 Úvod'!$G$18+'0 Úvod'!$J$18-1,-'3 Náklady I'!Z75,0)</f>
        <v>0</v>
      </c>
      <c r="AB20" s="835">
        <f>IF(AB18&lt;='0 Úvod'!$G$18+'0 Úvod'!$J$18-1,-'3 Náklady I'!AA75,0)</f>
        <v>0</v>
      </c>
      <c r="AC20" s="835">
        <f>IF(AC18&lt;='0 Úvod'!$G$18+'0 Úvod'!$J$18-1,-'3 Náklady I'!AB75,0)</f>
        <v>0</v>
      </c>
      <c r="AD20" s="836">
        <f>IF(AD18&lt;='0 Úvod'!$G$18+'0 Úvod'!$J$18-1,-'3 Náklady I'!AC75,0)</f>
        <v>0</v>
      </c>
    </row>
    <row r="21" spans="1:30" ht="12">
      <c r="A21" s="228"/>
      <c r="B21" s="849" t="str">
        <f t="shared" si="10"/>
        <v>5.</v>
      </c>
      <c r="C21" s="857" t="str">
        <f t="shared" si="10"/>
        <v>Celkem úspory okolní infrastruktury</v>
      </c>
      <c r="D21" s="858"/>
      <c r="E21" s="873"/>
      <c r="F21" s="230">
        <f>IF(F18&lt;='0 Úvod'!$G$18+'0 Úvod'!$J$18-1,'5 Úspory OI'!E12,0)</f>
        <v>0</v>
      </c>
      <c r="G21" s="230">
        <f>IF(G18&lt;='0 Úvod'!$G$18+'0 Úvod'!$J$18-1,'5 Úspory OI'!F12,0)</f>
        <v>0</v>
      </c>
      <c r="H21" s="230">
        <f>IF(H18&lt;='0 Úvod'!$G$18+'0 Úvod'!$J$18-1,'5 Úspory OI'!G12,0)</f>
        <v>0</v>
      </c>
      <c r="I21" s="230">
        <f>IF(I18&lt;='0 Úvod'!$G$18+'0 Úvod'!$J$18-1,'5 Úspory OI'!H12,0)</f>
        <v>0</v>
      </c>
      <c r="J21" s="230">
        <f>IF(J18&lt;='0 Úvod'!$G$18+'0 Úvod'!$J$18-1,'5 Úspory OI'!I12,0)</f>
        <v>0</v>
      </c>
      <c r="K21" s="230">
        <f>IF(K18&lt;='0 Úvod'!$G$18+'0 Úvod'!$J$18-1,'5 Úspory OI'!J12,0)</f>
        <v>0</v>
      </c>
      <c r="L21" s="230">
        <f>IF(L18&lt;='0 Úvod'!$G$18+'0 Úvod'!$J$18-1,'5 Úspory OI'!K12,0)</f>
        <v>0</v>
      </c>
      <c r="M21" s="230">
        <f>IF(M18&lt;='0 Úvod'!$G$18+'0 Úvod'!$J$18-1,'5 Úspory OI'!L12,0)</f>
        <v>0</v>
      </c>
      <c r="N21" s="230">
        <f>IF(N18&lt;='0 Úvod'!$G$18+'0 Úvod'!$J$18-1,'5 Úspory OI'!M12,0)</f>
        <v>0</v>
      </c>
      <c r="O21" s="230">
        <f>IF(O18&lt;='0 Úvod'!$G$18+'0 Úvod'!$J$18-1,'5 Úspory OI'!N12,0)</f>
        <v>0</v>
      </c>
      <c r="P21" s="230">
        <f>IF(P18&lt;='0 Úvod'!$G$18+'0 Úvod'!$J$18-1,'5 Úspory OI'!O12,0)</f>
        <v>0</v>
      </c>
      <c r="Q21" s="230">
        <f>IF(Q18&lt;='0 Úvod'!$G$18+'0 Úvod'!$J$18-1,'5 Úspory OI'!P12,0)</f>
        <v>0</v>
      </c>
      <c r="R21" s="230">
        <f>IF(R18&lt;='0 Úvod'!$G$18+'0 Úvod'!$J$18-1,'5 Úspory OI'!Q12,0)</f>
        <v>0</v>
      </c>
      <c r="S21" s="230">
        <f>IF(S18&lt;='0 Úvod'!$G$18+'0 Úvod'!$J$18-1,'5 Úspory OI'!R12,0)</f>
        <v>0</v>
      </c>
      <c r="T21" s="230">
        <f>IF(T18&lt;='0 Úvod'!$G$18+'0 Úvod'!$J$18-1,'5 Úspory OI'!S12,0)</f>
        <v>0</v>
      </c>
      <c r="U21" s="230">
        <f>IF(U18&lt;='0 Úvod'!$G$18+'0 Úvod'!$J$18-1,'5 Úspory OI'!T12,0)</f>
        <v>0</v>
      </c>
      <c r="V21" s="230">
        <f>IF(V18&lt;='0 Úvod'!$G$18+'0 Úvod'!$J$18-1,'5 Úspory OI'!U12,0)</f>
        <v>0</v>
      </c>
      <c r="W21" s="230">
        <f>IF(W18&lt;='0 Úvod'!$G$18+'0 Úvod'!$J$18-1,'5 Úspory OI'!V12,0)</f>
        <v>0</v>
      </c>
      <c r="X21" s="230">
        <f>IF(X18&lt;='0 Úvod'!$G$18+'0 Úvod'!$J$18-1,'5 Úspory OI'!W12,0)</f>
        <v>0</v>
      </c>
      <c r="Y21" s="230">
        <f>IF(Y18&lt;='0 Úvod'!$G$18+'0 Úvod'!$J$18-1,'5 Úspory OI'!X12,0)</f>
        <v>0</v>
      </c>
      <c r="Z21" s="230">
        <f>IF(Z18&lt;='0 Úvod'!$G$18+'0 Úvod'!$J$18-1,'5 Úspory OI'!Y12,0)</f>
        <v>0</v>
      </c>
      <c r="AA21" s="230">
        <f>IF(AA18&lt;='0 Úvod'!$G$18+'0 Úvod'!$J$18-1,'5 Úspory OI'!Z12,0)</f>
        <v>0</v>
      </c>
      <c r="AB21" s="230">
        <f>IF(AB18&lt;='0 Úvod'!$G$18+'0 Úvod'!$J$18-1,'5 Úspory OI'!AA12,0)</f>
        <v>0</v>
      </c>
      <c r="AC21" s="230">
        <f>IF(AC18&lt;='0 Úvod'!$G$18+'0 Úvod'!$J$18-1,'5 Úspory OI'!AB12,0)</f>
        <v>0</v>
      </c>
      <c r="AD21" s="497">
        <f>IF(AD18&lt;='0 Úvod'!$G$18+'0 Úvod'!$J$18-1,'5 Úspory OI'!AC12,0)</f>
        <v>0</v>
      </c>
    </row>
    <row r="22" spans="1:30" ht="12">
      <c r="A22" s="228"/>
      <c r="B22" s="849" t="str">
        <f t="shared" si="10"/>
        <v>6.</v>
      </c>
      <c r="C22" s="857" t="str">
        <f t="shared" si="10"/>
        <v>Celkem úspory nákladů přepravců</v>
      </c>
      <c r="D22" s="858"/>
      <c r="E22" s="873"/>
      <c r="F22" s="230">
        <f>IF(F18&lt;='0 Úvod'!$G$18+'0 Úvod'!$J$18-1,'6 Úspory ND'!E50,0)</f>
        <v>0</v>
      </c>
      <c r="G22" s="230">
        <f>IF(G18&lt;='0 Úvod'!$G$18+'0 Úvod'!$J$18-1,'6 Úspory ND'!F50,0)</f>
        <v>0</v>
      </c>
      <c r="H22" s="230">
        <f>IF(H18&lt;='0 Úvod'!$G$18+'0 Úvod'!$J$18-1,'6 Úspory ND'!G50,0)</f>
        <v>0</v>
      </c>
      <c r="I22" s="230">
        <f>IF(I18&lt;='0 Úvod'!$G$18+'0 Úvod'!$J$18-1,'6 Úspory ND'!H50,0)</f>
        <v>0</v>
      </c>
      <c r="J22" s="230">
        <f>IF(J18&lt;='0 Úvod'!$G$18+'0 Úvod'!$J$18-1,'6 Úspory ND'!I50,0)</f>
        <v>0</v>
      </c>
      <c r="K22" s="230">
        <f>IF(K18&lt;='0 Úvod'!$G$18+'0 Úvod'!$J$18-1,'6 Úspory ND'!J50,0)</f>
        <v>0</v>
      </c>
      <c r="L22" s="230">
        <f>IF(L18&lt;='0 Úvod'!$G$18+'0 Úvod'!$J$18-1,'6 Úspory ND'!K50,0)</f>
        <v>0</v>
      </c>
      <c r="M22" s="230">
        <f>IF(M18&lt;='0 Úvod'!$G$18+'0 Úvod'!$J$18-1,'6 Úspory ND'!L50,0)</f>
        <v>0</v>
      </c>
      <c r="N22" s="230">
        <f>IF(N18&lt;='0 Úvod'!$G$18+'0 Úvod'!$J$18-1,'6 Úspory ND'!M50,0)</f>
        <v>0</v>
      </c>
      <c r="O22" s="230">
        <f>IF(O18&lt;='0 Úvod'!$G$18+'0 Úvod'!$J$18-1,'6 Úspory ND'!N50,0)</f>
        <v>0</v>
      </c>
      <c r="P22" s="230">
        <f>IF(P18&lt;='0 Úvod'!$G$18+'0 Úvod'!$J$18-1,'6 Úspory ND'!O50,0)</f>
        <v>0</v>
      </c>
      <c r="Q22" s="230">
        <f>IF(Q18&lt;='0 Úvod'!$G$18+'0 Úvod'!$J$18-1,'6 Úspory ND'!P50,0)</f>
        <v>0</v>
      </c>
      <c r="R22" s="230">
        <f>IF(R18&lt;='0 Úvod'!$G$18+'0 Úvod'!$J$18-1,'6 Úspory ND'!Q50,0)</f>
        <v>0</v>
      </c>
      <c r="S22" s="230">
        <f>IF(S18&lt;='0 Úvod'!$G$18+'0 Úvod'!$J$18-1,'6 Úspory ND'!R50,0)</f>
        <v>0</v>
      </c>
      <c r="T22" s="230">
        <f>IF(T18&lt;='0 Úvod'!$G$18+'0 Úvod'!$J$18-1,'6 Úspory ND'!S50,0)</f>
        <v>0</v>
      </c>
      <c r="U22" s="230">
        <f>IF(U18&lt;='0 Úvod'!$G$18+'0 Úvod'!$J$18-1,'6 Úspory ND'!T50,0)</f>
        <v>0</v>
      </c>
      <c r="V22" s="230">
        <f>IF(V18&lt;='0 Úvod'!$G$18+'0 Úvod'!$J$18-1,'6 Úspory ND'!U50,0)</f>
        <v>0</v>
      </c>
      <c r="W22" s="230">
        <f>IF(W18&lt;='0 Úvod'!$G$18+'0 Úvod'!$J$18-1,'6 Úspory ND'!V50,0)</f>
        <v>0</v>
      </c>
      <c r="X22" s="230">
        <f>IF(X18&lt;='0 Úvod'!$G$18+'0 Úvod'!$J$18-1,'6 Úspory ND'!W50,0)</f>
        <v>0</v>
      </c>
      <c r="Y22" s="230">
        <f>IF(Y18&lt;='0 Úvod'!$G$18+'0 Úvod'!$J$18-1,'6 Úspory ND'!X50,0)</f>
        <v>0</v>
      </c>
      <c r="Z22" s="230">
        <f>IF(Z18&lt;='0 Úvod'!$G$18+'0 Úvod'!$J$18-1,'6 Úspory ND'!Y50,0)</f>
        <v>0</v>
      </c>
      <c r="AA22" s="230">
        <f>IF(AA18&lt;='0 Úvod'!$G$18+'0 Úvod'!$J$18-1,'6 Úspory ND'!Z50,0)</f>
        <v>0</v>
      </c>
      <c r="AB22" s="230">
        <f>IF(AB18&lt;='0 Úvod'!$G$18+'0 Úvod'!$J$18-1,'6 Úspory ND'!AA50,0)</f>
        <v>0</v>
      </c>
      <c r="AC22" s="230">
        <f>IF(AC18&lt;='0 Úvod'!$G$18+'0 Úvod'!$J$18-1,'6 Úspory ND'!AB50,0)</f>
        <v>0</v>
      </c>
      <c r="AD22" s="497">
        <f>IF(AD18&lt;='0 Úvod'!$G$18+'0 Úvod'!$J$18-1,'6 Úspory ND'!AC50,0)</f>
        <v>0</v>
      </c>
    </row>
    <row r="23" spans="1:30" ht="12">
      <c r="A23" s="228"/>
      <c r="B23" s="849" t="str">
        <f t="shared" si="10"/>
        <v>7.</v>
      </c>
      <c r="C23" s="857" t="str">
        <f t="shared" si="10"/>
        <v>Celkem externality</v>
      </c>
      <c r="D23" s="858"/>
      <c r="E23" s="873"/>
      <c r="F23" s="230">
        <f>IF(F18&lt;='0 Úvod'!$G$18+'0 Úvod'!$J$18-1,'7 Externality'!E74,0)</f>
        <v>0</v>
      </c>
      <c r="G23" s="230">
        <f>IF(G18&lt;='0 Úvod'!$G$18+'0 Úvod'!$J$18-1,'7 Externality'!F74,0)</f>
        <v>0</v>
      </c>
      <c r="H23" s="230">
        <f>IF(H18&lt;='0 Úvod'!$G$18+'0 Úvod'!$J$18-1,'7 Externality'!G74,0)</f>
        <v>0</v>
      </c>
      <c r="I23" s="230">
        <f>IF(I18&lt;='0 Úvod'!$G$18+'0 Úvod'!$J$18-1,'7 Externality'!H74,0)</f>
        <v>0</v>
      </c>
      <c r="J23" s="230">
        <f>IF(J18&lt;='0 Úvod'!$G$18+'0 Úvod'!$J$18-1,'7 Externality'!I74,0)</f>
        <v>0</v>
      </c>
      <c r="K23" s="230">
        <f>IF(K18&lt;='0 Úvod'!$G$18+'0 Úvod'!$J$18-1,'7 Externality'!J74,0)</f>
        <v>0</v>
      </c>
      <c r="L23" s="230">
        <f>IF(L18&lt;='0 Úvod'!$G$18+'0 Úvod'!$J$18-1,'7 Externality'!K74,0)</f>
        <v>0</v>
      </c>
      <c r="M23" s="230">
        <f>IF(M18&lt;='0 Úvod'!$G$18+'0 Úvod'!$J$18-1,'7 Externality'!L74,0)</f>
        <v>0</v>
      </c>
      <c r="N23" s="230">
        <f>IF(N18&lt;='0 Úvod'!$G$18+'0 Úvod'!$J$18-1,'7 Externality'!M74,0)</f>
        <v>0</v>
      </c>
      <c r="O23" s="230">
        <f>IF(O18&lt;='0 Úvod'!$G$18+'0 Úvod'!$J$18-1,'7 Externality'!N74+'8 Osobní a rekreační plavba'!N58,0)</f>
        <v>0</v>
      </c>
      <c r="P23" s="230">
        <f>IF(P18&lt;='0 Úvod'!$G$18+'0 Úvod'!$J$18-1,'7 Externality'!O74+'8 Osobní a rekreační plavba'!O58,0)</f>
        <v>0</v>
      </c>
      <c r="Q23" s="230">
        <f>IF(Q18&lt;='0 Úvod'!$G$18+'0 Úvod'!$J$18-1,'7 Externality'!P74+'8 Osobní a rekreační plavba'!P58,0)</f>
        <v>0</v>
      </c>
      <c r="R23" s="230">
        <f>IF(R18&lt;='0 Úvod'!$G$18+'0 Úvod'!$J$18-1,'7 Externality'!Q74+'8 Osobní a rekreační plavba'!Q58,0)</f>
        <v>0</v>
      </c>
      <c r="S23" s="230">
        <f>IF(S18&lt;='0 Úvod'!$G$18+'0 Úvod'!$J$18-1,'7 Externality'!R74+'8 Osobní a rekreační plavba'!R58,0)</f>
        <v>0</v>
      </c>
      <c r="T23" s="230">
        <f>IF(T18&lt;='0 Úvod'!$G$18+'0 Úvod'!$J$18-1,'7 Externality'!S74+'8 Osobní a rekreační plavba'!S58,0)</f>
        <v>0</v>
      </c>
      <c r="U23" s="230">
        <f>IF(U18&lt;='0 Úvod'!$G$18+'0 Úvod'!$J$18-1,'7 Externality'!T74+'8 Osobní a rekreační plavba'!T58,0)</f>
        <v>0</v>
      </c>
      <c r="V23" s="230">
        <f>IF(V18&lt;='0 Úvod'!$G$18+'0 Úvod'!$J$18-1,'7 Externality'!U74+'8 Osobní a rekreační plavba'!U58,0)</f>
        <v>0</v>
      </c>
      <c r="W23" s="230">
        <f>IF(W18&lt;='0 Úvod'!$G$18+'0 Úvod'!$J$18-1,'7 Externality'!V74+'8 Osobní a rekreační plavba'!V58,0)</f>
        <v>0</v>
      </c>
      <c r="X23" s="230">
        <f>IF(X18&lt;='0 Úvod'!$G$18+'0 Úvod'!$J$18-1,'7 Externality'!W74+'8 Osobní a rekreační plavba'!W58,0)</f>
        <v>0</v>
      </c>
      <c r="Y23" s="230">
        <f>IF(Y18&lt;='0 Úvod'!$G$18+'0 Úvod'!$J$18-1,'7 Externality'!X74+'8 Osobní a rekreační plavba'!X58,0)</f>
        <v>0</v>
      </c>
      <c r="Z23" s="230">
        <f>IF(Z18&lt;='0 Úvod'!$G$18+'0 Úvod'!$J$18-1,'7 Externality'!Y74+'8 Osobní a rekreační plavba'!Y58,0)</f>
        <v>0</v>
      </c>
      <c r="AA23" s="230">
        <f>IF(AA18&lt;='0 Úvod'!$G$18+'0 Úvod'!$J$18-1,'7 Externality'!Z74+'8 Osobní a rekreační plavba'!Z58,0)</f>
        <v>0</v>
      </c>
      <c r="AB23" s="230">
        <f>IF(AB18&lt;='0 Úvod'!$G$18+'0 Úvod'!$J$18-1,'7 Externality'!AA74+'8 Osobní a rekreační plavba'!AA58,0)</f>
        <v>0</v>
      </c>
      <c r="AC23" s="230">
        <f>IF(AC18&lt;='0 Úvod'!$G$18+'0 Úvod'!$J$18-1,'7 Externality'!AB74+'8 Osobní a rekreační plavba'!AB58,0)</f>
        <v>0</v>
      </c>
      <c r="AD23" s="497">
        <f>IF(AD18&lt;='0 Úvod'!$G$18+'0 Úvod'!$J$18-1,'7 Externality'!AC74+'8 Osobní a rekreační plavba'!AC58,0)</f>
        <v>0</v>
      </c>
    </row>
    <row r="24" spans="1:30" ht="12">
      <c r="A24" s="228"/>
      <c r="B24" s="849" t="str">
        <f t="shared" si="10"/>
        <v>8.</v>
      </c>
      <c r="C24" s="857" t="str">
        <f t="shared" si="10"/>
        <v>Celkem efekty osobní a rekreační plavby</v>
      </c>
      <c r="D24" s="858"/>
      <c r="E24" s="873"/>
      <c r="F24" s="230">
        <f>IF(F18&lt;='0 Úvod'!$G$18+'0 Úvod'!$J$18-1,'8 Osobní a rekreační plavba'!E58,0)</f>
        <v>0</v>
      </c>
      <c r="G24" s="230">
        <f>IF(G18&lt;='0 Úvod'!$G$18+'0 Úvod'!$J$18-1,'8 Osobní a rekreační plavba'!F58,0)</f>
        <v>0</v>
      </c>
      <c r="H24" s="230">
        <f>IF(H18&lt;='0 Úvod'!$G$18+'0 Úvod'!$J$18-1,'8 Osobní a rekreační plavba'!G58,0)</f>
        <v>0</v>
      </c>
      <c r="I24" s="230">
        <f>IF(I18&lt;='0 Úvod'!$G$18+'0 Úvod'!$J$18-1,'8 Osobní a rekreační plavba'!H58,0)</f>
        <v>0</v>
      </c>
      <c r="J24" s="230">
        <f>IF(J18&lt;='0 Úvod'!$G$18+'0 Úvod'!$J$18-1,'8 Osobní a rekreační plavba'!I58,0)</f>
        <v>0</v>
      </c>
      <c r="K24" s="230">
        <f>IF(K18&lt;='0 Úvod'!$G$18+'0 Úvod'!$J$18-1,'8 Osobní a rekreační plavba'!J58,0)</f>
        <v>0</v>
      </c>
      <c r="L24" s="230">
        <f>IF(L18&lt;='0 Úvod'!$G$18+'0 Úvod'!$J$18-1,'8 Osobní a rekreační plavba'!K58,0)</f>
        <v>0</v>
      </c>
      <c r="M24" s="230">
        <f>IF(M18&lt;='0 Úvod'!$G$18+'0 Úvod'!$J$18-1,'8 Osobní a rekreační plavba'!L58,0)</f>
        <v>0</v>
      </c>
      <c r="N24" s="230">
        <f>IF(N18&lt;='0 Úvod'!$G$18+'0 Úvod'!$J$18-1,'8 Osobní a rekreační plavba'!M58,0)</f>
        <v>0</v>
      </c>
      <c r="O24" s="230">
        <f>IF(O18&lt;='0 Úvod'!$G$18+'0 Úvod'!$J$18-1,'8 Osobní a rekreační plavba'!N58,0)</f>
        <v>0</v>
      </c>
      <c r="P24" s="230">
        <f>IF(P18&lt;='0 Úvod'!$G$18+'0 Úvod'!$J$18-1,'8 Osobní a rekreační plavba'!O58,0)</f>
        <v>0</v>
      </c>
      <c r="Q24" s="230">
        <f>IF(Q18&lt;='0 Úvod'!$G$18+'0 Úvod'!$J$18-1,'8 Osobní a rekreační plavba'!P58,0)</f>
        <v>0</v>
      </c>
      <c r="R24" s="230">
        <f>IF(R18&lt;='0 Úvod'!$G$18+'0 Úvod'!$J$18-1,'8 Osobní a rekreační plavba'!Q58,0)</f>
        <v>0</v>
      </c>
      <c r="S24" s="230">
        <f>IF(S18&lt;='0 Úvod'!$G$18+'0 Úvod'!$J$18-1,'8 Osobní a rekreační plavba'!R58,0)</f>
        <v>0</v>
      </c>
      <c r="T24" s="230">
        <f>IF(T18&lt;='0 Úvod'!$G$18+'0 Úvod'!$J$18-1,'8 Osobní a rekreační plavba'!S58,0)</f>
        <v>0</v>
      </c>
      <c r="U24" s="230">
        <f>IF(U18&lt;='0 Úvod'!$G$18+'0 Úvod'!$J$18-1,'8 Osobní a rekreační plavba'!T58,0)</f>
        <v>0</v>
      </c>
      <c r="V24" s="230">
        <f>IF(V18&lt;='0 Úvod'!$G$18+'0 Úvod'!$J$18-1,'8 Osobní a rekreační plavba'!U58,0)</f>
        <v>0</v>
      </c>
      <c r="W24" s="230">
        <f>IF(W18&lt;='0 Úvod'!$G$18+'0 Úvod'!$J$18-1,'8 Osobní a rekreační plavba'!V58,0)</f>
        <v>0</v>
      </c>
      <c r="X24" s="230">
        <f>IF(X18&lt;='0 Úvod'!$G$18+'0 Úvod'!$J$18-1,'8 Osobní a rekreační plavba'!W58,0)</f>
        <v>0</v>
      </c>
      <c r="Y24" s="230">
        <f>IF(Y18&lt;='0 Úvod'!$G$18+'0 Úvod'!$J$18-1,'8 Osobní a rekreační plavba'!X58,0)</f>
        <v>0</v>
      </c>
      <c r="Z24" s="230">
        <f>IF(Z18&lt;='0 Úvod'!$G$18+'0 Úvod'!$J$18-1,'8 Osobní a rekreační plavba'!Y58,0)</f>
        <v>0</v>
      </c>
      <c r="AA24" s="230">
        <f>IF(AA18&lt;='0 Úvod'!$G$18+'0 Úvod'!$J$18-1,'8 Osobní a rekreační plavba'!Z58,0)</f>
        <v>0</v>
      </c>
      <c r="AB24" s="230">
        <f>IF(AB18&lt;='0 Úvod'!$G$18+'0 Úvod'!$J$18-1,'8 Osobní a rekreační plavba'!AA58,0)</f>
        <v>0</v>
      </c>
      <c r="AC24" s="230">
        <f>IF(AC18&lt;='0 Úvod'!$G$18+'0 Úvod'!$J$18-1,'8 Osobní a rekreační plavba'!AB58,0)</f>
        <v>0</v>
      </c>
      <c r="AD24" s="497">
        <f>IF(AD18&lt;='0 Úvod'!$G$18+'0 Úvod'!$J$18-1,'8 Osobní a rekreační plavba'!AC58,0)</f>
        <v>0</v>
      </c>
    </row>
    <row r="25" spans="1:30" ht="12">
      <c r="A25" s="228"/>
      <c r="B25" s="849" t="str">
        <f t="shared" si="10"/>
        <v>9.</v>
      </c>
      <c r="C25" s="859" t="str">
        <f t="shared" si="10"/>
        <v>Ostatní přínosy a náklady projektu</v>
      </c>
      <c r="D25" s="858"/>
      <c r="E25" s="873"/>
      <c r="F25" s="230">
        <f>IF(F18&lt;='0 Úvod'!$G$18+'0 Úvod'!$J$18-1,'9 Ostatní'!E50,0)</f>
        <v>0</v>
      </c>
      <c r="G25" s="230">
        <f>IF(G18&lt;='0 Úvod'!$G$18+'0 Úvod'!$J$18-1,'9 Ostatní'!F50,0)</f>
        <v>0</v>
      </c>
      <c r="H25" s="230">
        <f>IF(H18&lt;='0 Úvod'!$G$18+'0 Úvod'!$J$18-1,'9 Ostatní'!G50,0)</f>
        <v>0</v>
      </c>
      <c r="I25" s="230">
        <f>IF(I18&lt;='0 Úvod'!$G$18+'0 Úvod'!$J$18-1,'9 Ostatní'!H50,0)</f>
        <v>0</v>
      </c>
      <c r="J25" s="230">
        <f>IF(J18&lt;='0 Úvod'!$G$18+'0 Úvod'!$J$18-1,'9 Ostatní'!I50,0)</f>
        <v>0</v>
      </c>
      <c r="K25" s="230">
        <f>IF(K18&lt;='0 Úvod'!$G$18+'0 Úvod'!$J$18-1,'9 Ostatní'!J50,0)</f>
        <v>0</v>
      </c>
      <c r="L25" s="230">
        <f>IF(L18&lt;='0 Úvod'!$G$18+'0 Úvod'!$J$18-1,'9 Ostatní'!K50,0)</f>
        <v>0</v>
      </c>
      <c r="M25" s="230">
        <f>IF(M18&lt;='0 Úvod'!$G$18+'0 Úvod'!$J$18-1,'9 Ostatní'!L50,0)</f>
        <v>0</v>
      </c>
      <c r="N25" s="230">
        <f>IF(N18&lt;='0 Úvod'!$G$18+'0 Úvod'!$J$18-1,'9 Ostatní'!M50,0)</f>
        <v>0</v>
      </c>
      <c r="O25" s="230">
        <f>IF(O18&lt;='0 Úvod'!$G$18+'0 Úvod'!$J$18-1,'9 Ostatní'!N50,0)</f>
        <v>0</v>
      </c>
      <c r="P25" s="230">
        <f>IF(P18&lt;='0 Úvod'!$G$18+'0 Úvod'!$J$18-1,'9 Ostatní'!O50,0)</f>
        <v>0</v>
      </c>
      <c r="Q25" s="230">
        <f>IF(Q18&lt;='0 Úvod'!$G$18+'0 Úvod'!$J$18-1,'9 Ostatní'!P50,0)</f>
        <v>0</v>
      </c>
      <c r="R25" s="230">
        <f>IF(R18&lt;='0 Úvod'!$G$18+'0 Úvod'!$J$18-1,'9 Ostatní'!Q50,0)</f>
        <v>0</v>
      </c>
      <c r="S25" s="230">
        <f>IF(S18&lt;='0 Úvod'!$G$18+'0 Úvod'!$J$18-1,'9 Ostatní'!R50,0)</f>
        <v>0</v>
      </c>
      <c r="T25" s="230">
        <f>IF(T18&lt;='0 Úvod'!$G$18+'0 Úvod'!$J$18-1,'9 Ostatní'!S50,0)</f>
        <v>0</v>
      </c>
      <c r="U25" s="230">
        <f>IF(U18&lt;='0 Úvod'!$G$18+'0 Úvod'!$J$18-1,'9 Ostatní'!T50,0)</f>
        <v>0</v>
      </c>
      <c r="V25" s="230">
        <f>IF(V18&lt;='0 Úvod'!$G$18+'0 Úvod'!$J$18-1,'9 Ostatní'!U50,0)</f>
        <v>0</v>
      </c>
      <c r="W25" s="230">
        <f>IF(W18&lt;='0 Úvod'!$G$18+'0 Úvod'!$J$18-1,'9 Ostatní'!V50,0)</f>
        <v>0</v>
      </c>
      <c r="X25" s="230">
        <f>IF(X18&lt;='0 Úvod'!$G$18+'0 Úvod'!$J$18-1,'9 Ostatní'!W50,0)</f>
        <v>0</v>
      </c>
      <c r="Y25" s="230">
        <f>IF(Y18&lt;='0 Úvod'!$G$18+'0 Úvod'!$J$18-1,'9 Ostatní'!X50,0)</f>
        <v>0</v>
      </c>
      <c r="Z25" s="230">
        <f>IF(Z18&lt;='0 Úvod'!$G$18+'0 Úvod'!$J$18-1,'9 Ostatní'!Y50,0)</f>
        <v>0</v>
      </c>
      <c r="AA25" s="230">
        <f>IF(AA18&lt;='0 Úvod'!$G$18+'0 Úvod'!$J$18-1,'9 Ostatní'!Z50,0)</f>
        <v>0</v>
      </c>
      <c r="AB25" s="230">
        <f>IF(AB18&lt;='0 Úvod'!$G$18+'0 Úvod'!$J$18-1,'9 Ostatní'!AA50,0)</f>
        <v>0</v>
      </c>
      <c r="AC25" s="230">
        <f>IF(AC18&lt;='0 Úvod'!$G$18+'0 Úvod'!$J$18-1,'9 Ostatní'!AB50,0)</f>
        <v>0</v>
      </c>
      <c r="AD25" s="497">
        <f>IF(AD18&lt;='0 Úvod'!$G$18+'0 Úvod'!$J$18-1,'9 Ostatní'!AC50,0)</f>
        <v>0</v>
      </c>
    </row>
    <row r="26" spans="2:30" ht="12">
      <c r="B26" s="850"/>
      <c r="C26" s="860" t="str">
        <f aca="true" t="shared" si="11" ref="C26:C32">C10</f>
        <v>Celkové úspory</v>
      </c>
      <c r="D26" s="861"/>
      <c r="E26" s="874"/>
      <c r="F26" s="513">
        <f aca="true" t="shared" si="12" ref="F26:AD26">SUM(F20:F25)</f>
        <v>0</v>
      </c>
      <c r="G26" s="513">
        <f t="shared" si="12"/>
        <v>0</v>
      </c>
      <c r="H26" s="513">
        <f t="shared" si="12"/>
        <v>0</v>
      </c>
      <c r="I26" s="513">
        <f t="shared" si="12"/>
        <v>0</v>
      </c>
      <c r="J26" s="513">
        <f t="shared" si="12"/>
        <v>0</v>
      </c>
      <c r="K26" s="513">
        <f t="shared" si="12"/>
        <v>0</v>
      </c>
      <c r="L26" s="513">
        <f t="shared" si="12"/>
        <v>0</v>
      </c>
      <c r="M26" s="513">
        <f t="shared" si="12"/>
        <v>0</v>
      </c>
      <c r="N26" s="513">
        <f t="shared" si="12"/>
        <v>0</v>
      </c>
      <c r="O26" s="513">
        <f t="shared" si="12"/>
        <v>0</v>
      </c>
      <c r="P26" s="513">
        <f t="shared" si="12"/>
        <v>0</v>
      </c>
      <c r="Q26" s="513">
        <f t="shared" si="12"/>
        <v>0</v>
      </c>
      <c r="R26" s="513">
        <f t="shared" si="12"/>
        <v>0</v>
      </c>
      <c r="S26" s="513">
        <f t="shared" si="12"/>
        <v>0</v>
      </c>
      <c r="T26" s="513">
        <f t="shared" si="12"/>
        <v>0</v>
      </c>
      <c r="U26" s="513">
        <f t="shared" si="12"/>
        <v>0</v>
      </c>
      <c r="V26" s="513">
        <f t="shared" si="12"/>
        <v>0</v>
      </c>
      <c r="W26" s="513">
        <f t="shared" si="12"/>
        <v>0</v>
      </c>
      <c r="X26" s="513">
        <f t="shared" si="12"/>
        <v>0</v>
      </c>
      <c r="Y26" s="513">
        <f t="shared" si="12"/>
        <v>0</v>
      </c>
      <c r="Z26" s="513">
        <f t="shared" si="12"/>
        <v>0</v>
      </c>
      <c r="AA26" s="513">
        <f t="shared" si="12"/>
        <v>0</v>
      </c>
      <c r="AB26" s="513">
        <f t="shared" si="12"/>
        <v>0</v>
      </c>
      <c r="AC26" s="513">
        <f t="shared" si="12"/>
        <v>0</v>
      </c>
      <c r="AD26" s="514">
        <f t="shared" si="12"/>
        <v>0</v>
      </c>
    </row>
    <row r="27" spans="1:30" ht="12">
      <c r="A27" s="228"/>
      <c r="B27" s="862" t="str">
        <f>B11</f>
        <v>1.</v>
      </c>
      <c r="C27" s="857" t="str">
        <f t="shared" si="11"/>
        <v>Celkem investiční náklady bez rezervy</v>
      </c>
      <c r="D27" s="863"/>
      <c r="E27" s="875"/>
      <c r="F27" s="230">
        <f>'1 CIN'!G24*$E$11</f>
        <v>0</v>
      </c>
      <c r="G27" s="230">
        <f>'1 CIN'!H24*$E$11</f>
        <v>0</v>
      </c>
      <c r="H27" s="230">
        <f>'1 CIN'!I24*$E$11</f>
        <v>0</v>
      </c>
      <c r="I27" s="230">
        <f>'1 CIN'!J24*$E$11</f>
        <v>0</v>
      </c>
      <c r="J27" s="230">
        <f>'1 CIN'!K24*$E$11</f>
        <v>0</v>
      </c>
      <c r="K27" s="230">
        <f>'1 CIN'!L24*$E$11</f>
        <v>0</v>
      </c>
      <c r="L27" s="230">
        <f>'1 CIN'!M24*$E$11</f>
        <v>0</v>
      </c>
      <c r="M27" s="230">
        <f>'1 CIN'!N24*$E$11</f>
        <v>0</v>
      </c>
      <c r="N27" s="230">
        <f>'1 CIN'!O24*$E$11</f>
        <v>0</v>
      </c>
      <c r="O27" s="230">
        <f>'1 CIN'!P24*$E$11</f>
        <v>0</v>
      </c>
      <c r="P27" s="230">
        <f>'1 CIN'!Q24*$E$11</f>
        <v>0</v>
      </c>
      <c r="Q27" s="230">
        <f>'1 CIN'!R24*$E$11</f>
        <v>0</v>
      </c>
      <c r="R27" s="230">
        <f>'1 CIN'!S24*$E$11</f>
        <v>0</v>
      </c>
      <c r="S27" s="230">
        <f>'1 CIN'!T24*$E$11</f>
        <v>0</v>
      </c>
      <c r="T27" s="230">
        <f>'1 CIN'!U24*$E$11</f>
        <v>0</v>
      </c>
      <c r="U27" s="230">
        <f>'1 CIN'!V24*$E$11</f>
        <v>0</v>
      </c>
      <c r="V27" s="230">
        <f>'1 CIN'!W24*$E$11</f>
        <v>0</v>
      </c>
      <c r="W27" s="230">
        <f>'1 CIN'!X24*$E$11</f>
        <v>0</v>
      </c>
      <c r="X27" s="230">
        <f>'1 CIN'!Y24*$E$11</f>
        <v>0</v>
      </c>
      <c r="Y27" s="230">
        <f>'1 CIN'!Z24*$E$11</f>
        <v>0</v>
      </c>
      <c r="Z27" s="230">
        <f>'1 CIN'!AA24*$E$11</f>
        <v>0</v>
      </c>
      <c r="AA27" s="230">
        <f>'1 CIN'!AB24*$E$11</f>
        <v>0</v>
      </c>
      <c r="AB27" s="230">
        <f>'1 CIN'!AC24*$E$11</f>
        <v>0</v>
      </c>
      <c r="AC27" s="230">
        <f>'1 CIN'!AD24*$E$11</f>
        <v>0</v>
      </c>
      <c r="AD27" s="497">
        <f>'1 CIN'!AE24*$E$11</f>
        <v>0</v>
      </c>
    </row>
    <row r="28" spans="1:30" ht="12">
      <c r="A28" s="228"/>
      <c r="B28" s="862" t="str">
        <f>B12</f>
        <v>2.</v>
      </c>
      <c r="C28" s="857" t="str">
        <f t="shared" si="11"/>
        <v>Zůstatková hodnota (záporná)</v>
      </c>
      <c r="D28" s="863"/>
      <c r="E28" s="875"/>
      <c r="F28" s="230">
        <f>'2 ZH'!E36*$E$12*-1</f>
        <v>0</v>
      </c>
      <c r="G28" s="230">
        <f>'2 ZH'!F36*$E$12*-1</f>
        <v>0</v>
      </c>
      <c r="H28" s="230">
        <f>'2 ZH'!G36*$E$12*-1</f>
        <v>0</v>
      </c>
      <c r="I28" s="230">
        <f>'2 ZH'!H36*$E$12*-1</f>
        <v>0</v>
      </c>
      <c r="J28" s="230">
        <f>'2 ZH'!I36*$E$12*-1</f>
        <v>0</v>
      </c>
      <c r="K28" s="230">
        <f>'2 ZH'!J36*$E$12*-1</f>
        <v>0</v>
      </c>
      <c r="L28" s="230">
        <f>'2 ZH'!K36*$E$12*-1</f>
        <v>0</v>
      </c>
      <c r="M28" s="230">
        <f>'2 ZH'!L36*$E$12*-1</f>
        <v>0</v>
      </c>
      <c r="N28" s="230">
        <f>'2 ZH'!M36*$E$12*-1</f>
        <v>0</v>
      </c>
      <c r="O28" s="230">
        <f>'2 ZH'!N36*$E$12*-1</f>
        <v>0</v>
      </c>
      <c r="P28" s="230">
        <f>'2 ZH'!O36*$E$12*-1</f>
        <v>0</v>
      </c>
      <c r="Q28" s="230">
        <f>'2 ZH'!P36*$E$12*-1</f>
        <v>0</v>
      </c>
      <c r="R28" s="230">
        <f>'2 ZH'!Q36*$E$12*-1</f>
        <v>0</v>
      </c>
      <c r="S28" s="230">
        <f>'2 ZH'!R36*$E$12*-1</f>
        <v>0</v>
      </c>
      <c r="T28" s="230">
        <f>'2 ZH'!S36*$E$12*-1</f>
        <v>0</v>
      </c>
      <c r="U28" s="230">
        <f>'2 ZH'!T36*$E$12*-1</f>
        <v>0</v>
      </c>
      <c r="V28" s="230">
        <f>'2 ZH'!U36*$E$12*-1</f>
        <v>0</v>
      </c>
      <c r="W28" s="230">
        <f>'2 ZH'!V36*$E$12*-1</f>
        <v>0</v>
      </c>
      <c r="X28" s="230">
        <f>'2 ZH'!W36*$E$12*-1</f>
        <v>0</v>
      </c>
      <c r="Y28" s="230">
        <f>'2 ZH'!X36*$E$12*-1</f>
        <v>0</v>
      </c>
      <c r="Z28" s="230">
        <f>'2 ZH'!Y36*$E$12*-1</f>
        <v>0</v>
      </c>
      <c r="AA28" s="230">
        <f>'2 ZH'!Z36*$E$12*-1</f>
        <v>0</v>
      </c>
      <c r="AB28" s="230">
        <f>'2 ZH'!AA36*$E$12*-1</f>
        <v>0</v>
      </c>
      <c r="AC28" s="230">
        <f>'2 ZH'!AB36*$E$12*-1</f>
        <v>0</v>
      </c>
      <c r="AD28" s="497">
        <f>'2 ZH'!AC36*$E$12*-1</f>
        <v>0</v>
      </c>
    </row>
    <row r="29" spans="2:30" ht="12">
      <c r="B29" s="851"/>
      <c r="C29" s="864" t="str">
        <f t="shared" si="11"/>
        <v>Celkové náklady</v>
      </c>
      <c r="D29" s="861"/>
      <c r="E29" s="874"/>
      <c r="F29" s="513">
        <f aca="true" t="shared" si="13" ref="F29:AD29">SUM(F27:F28)</f>
        <v>0</v>
      </c>
      <c r="G29" s="513">
        <f t="shared" si="13"/>
        <v>0</v>
      </c>
      <c r="H29" s="513">
        <f t="shared" si="13"/>
        <v>0</v>
      </c>
      <c r="I29" s="513">
        <f t="shared" si="13"/>
        <v>0</v>
      </c>
      <c r="J29" s="513">
        <f t="shared" si="13"/>
        <v>0</v>
      </c>
      <c r="K29" s="513">
        <f t="shared" si="13"/>
        <v>0</v>
      </c>
      <c r="L29" s="513">
        <f t="shared" si="13"/>
        <v>0</v>
      </c>
      <c r="M29" s="513">
        <f t="shared" si="13"/>
        <v>0</v>
      </c>
      <c r="N29" s="513">
        <f t="shared" si="13"/>
        <v>0</v>
      </c>
      <c r="O29" s="513">
        <f t="shared" si="13"/>
        <v>0</v>
      </c>
      <c r="P29" s="513">
        <f t="shared" si="13"/>
        <v>0</v>
      </c>
      <c r="Q29" s="513">
        <f t="shared" si="13"/>
        <v>0</v>
      </c>
      <c r="R29" s="513">
        <f t="shared" si="13"/>
        <v>0</v>
      </c>
      <c r="S29" s="513">
        <f t="shared" si="13"/>
        <v>0</v>
      </c>
      <c r="T29" s="513">
        <f t="shared" si="13"/>
        <v>0</v>
      </c>
      <c r="U29" s="513">
        <f t="shared" si="13"/>
        <v>0</v>
      </c>
      <c r="V29" s="513">
        <f t="shared" si="13"/>
        <v>0</v>
      </c>
      <c r="W29" s="513">
        <f t="shared" si="13"/>
        <v>0</v>
      </c>
      <c r="X29" s="513">
        <f t="shared" si="13"/>
        <v>0</v>
      </c>
      <c r="Y29" s="513">
        <f t="shared" si="13"/>
        <v>0</v>
      </c>
      <c r="Z29" s="513">
        <f t="shared" si="13"/>
        <v>0</v>
      </c>
      <c r="AA29" s="513">
        <f t="shared" si="13"/>
        <v>0</v>
      </c>
      <c r="AB29" s="513">
        <f t="shared" si="13"/>
        <v>0</v>
      </c>
      <c r="AC29" s="513">
        <f t="shared" si="13"/>
        <v>0</v>
      </c>
      <c r="AD29" s="514">
        <f t="shared" si="13"/>
        <v>0</v>
      </c>
    </row>
    <row r="30" spans="2:30" ht="12">
      <c r="B30" s="852"/>
      <c r="C30" s="858" t="str">
        <f t="shared" si="11"/>
        <v>Cash Flow </v>
      </c>
      <c r="D30" s="865"/>
      <c r="E30" s="876"/>
      <c r="F30" s="237">
        <f aca="true" t="shared" si="14" ref="F30:AD30">F26-F29</f>
        <v>0</v>
      </c>
      <c r="G30" s="237">
        <f t="shared" si="14"/>
        <v>0</v>
      </c>
      <c r="H30" s="237">
        <f t="shared" si="14"/>
        <v>0</v>
      </c>
      <c r="I30" s="237">
        <f t="shared" si="14"/>
        <v>0</v>
      </c>
      <c r="J30" s="237">
        <f t="shared" si="14"/>
        <v>0</v>
      </c>
      <c r="K30" s="237">
        <f t="shared" si="14"/>
        <v>0</v>
      </c>
      <c r="L30" s="237">
        <f t="shared" si="14"/>
        <v>0</v>
      </c>
      <c r="M30" s="237">
        <f t="shared" si="14"/>
        <v>0</v>
      </c>
      <c r="N30" s="237">
        <f t="shared" si="14"/>
        <v>0</v>
      </c>
      <c r="O30" s="237">
        <f t="shared" si="14"/>
        <v>0</v>
      </c>
      <c r="P30" s="237">
        <f t="shared" si="14"/>
        <v>0</v>
      </c>
      <c r="Q30" s="237">
        <f t="shared" si="14"/>
        <v>0</v>
      </c>
      <c r="R30" s="237">
        <f t="shared" si="14"/>
        <v>0</v>
      </c>
      <c r="S30" s="237">
        <f t="shared" si="14"/>
        <v>0</v>
      </c>
      <c r="T30" s="237">
        <f t="shared" si="14"/>
        <v>0</v>
      </c>
      <c r="U30" s="237">
        <f t="shared" si="14"/>
        <v>0</v>
      </c>
      <c r="V30" s="237">
        <f t="shared" si="14"/>
        <v>0</v>
      </c>
      <c r="W30" s="237">
        <f t="shared" si="14"/>
        <v>0</v>
      </c>
      <c r="X30" s="237">
        <f t="shared" si="14"/>
        <v>0</v>
      </c>
      <c r="Y30" s="237">
        <f t="shared" si="14"/>
        <v>0</v>
      </c>
      <c r="Z30" s="237">
        <f t="shared" si="14"/>
        <v>0</v>
      </c>
      <c r="AA30" s="237">
        <f t="shared" si="14"/>
        <v>0</v>
      </c>
      <c r="AB30" s="237">
        <f t="shared" si="14"/>
        <v>0</v>
      </c>
      <c r="AC30" s="237">
        <f t="shared" si="14"/>
        <v>0</v>
      </c>
      <c r="AD30" s="498">
        <f t="shared" si="14"/>
        <v>0</v>
      </c>
    </row>
    <row r="31" spans="1:30" ht="12">
      <c r="A31" s="228"/>
      <c r="B31" s="866"/>
      <c r="C31" s="867" t="str">
        <f t="shared" si="11"/>
        <v>Diskontní sazba</v>
      </c>
      <c r="D31" s="868"/>
      <c r="E31" s="877"/>
      <c r="F31" s="238">
        <f>AD15*1/(1+$D$15)</f>
        <v>0.26223370389927</v>
      </c>
      <c r="G31" s="238">
        <f>F31*1/(1+$D$15)</f>
        <v>0.2485627525111564</v>
      </c>
      <c r="H31" s="238">
        <f aca="true" t="shared" si="15" ref="H31:T31">G31*1/(1+$D$15)</f>
        <v>0.2356045047499113</v>
      </c>
      <c r="I31" s="238">
        <f t="shared" si="15"/>
        <v>0.2233218054501529</v>
      </c>
      <c r="J31" s="238">
        <f t="shared" si="15"/>
        <v>0.21167943644564258</v>
      </c>
      <c r="K31" s="238">
        <f t="shared" si="15"/>
        <v>0.20064401558828682</v>
      </c>
      <c r="L31" s="238">
        <f t="shared" si="15"/>
        <v>0.1901839010315515</v>
      </c>
      <c r="M31" s="238">
        <f t="shared" si="15"/>
        <v>0.1802691005038403</v>
      </c>
      <c r="N31" s="238">
        <f t="shared" si="15"/>
        <v>0.17087118531169695</v>
      </c>
      <c r="O31" s="238">
        <f t="shared" si="15"/>
        <v>0.16196320882625304</v>
      </c>
      <c r="P31" s="238">
        <f t="shared" si="15"/>
        <v>0.1535196292191972</v>
      </c>
      <c r="Q31" s="238">
        <f t="shared" si="15"/>
        <v>0.1455162362267272</v>
      </c>
      <c r="R31" s="238">
        <f t="shared" si="15"/>
        <v>0.13793008173149499</v>
      </c>
      <c r="S31" s="238">
        <f t="shared" si="15"/>
        <v>0.13073941396350236</v>
      </c>
      <c r="T31" s="238">
        <f t="shared" si="15"/>
        <v>0.12392361513128186</v>
      </c>
      <c r="U31" s="238">
        <f aca="true" t="shared" si="16" ref="U31:AD31">T31*1/(1+$D$15)</f>
        <v>0.11746314230453257</v>
      </c>
      <c r="V31" s="238">
        <f t="shared" si="16"/>
        <v>0.11133947137870387</v>
      </c>
      <c r="W31" s="238">
        <f t="shared" si="16"/>
        <v>0.10553504396085675</v>
      </c>
      <c r="X31" s="238">
        <f t="shared" si="16"/>
        <v>0.10003321702450878</v>
      </c>
      <c r="Y31" s="238">
        <f t="shared" si="16"/>
        <v>0.09481821518910785</v>
      </c>
      <c r="Z31" s="238">
        <f t="shared" si="16"/>
        <v>0.08987508548730602</v>
      </c>
      <c r="AA31" s="238">
        <f t="shared" si="16"/>
        <v>0.08518965449033747</v>
      </c>
      <c r="AB31" s="238">
        <f t="shared" si="16"/>
        <v>0.08074848766856632</v>
      </c>
      <c r="AC31" s="238">
        <f t="shared" si="16"/>
        <v>0.07653885087067898</v>
      </c>
      <c r="AD31" s="499">
        <f t="shared" si="16"/>
        <v>0.07254867381107012</v>
      </c>
    </row>
    <row r="32" spans="1:30" ht="12.75" thickBot="1">
      <c r="A32" s="226"/>
      <c r="B32" s="869"/>
      <c r="C32" s="870" t="str">
        <f t="shared" si="11"/>
        <v>Diskontní cash flow</v>
      </c>
      <c r="D32" s="871"/>
      <c r="E32" s="878"/>
      <c r="F32" s="500">
        <f aca="true" t="shared" si="17" ref="F32:T32">F30*F31</f>
        <v>0</v>
      </c>
      <c r="G32" s="500">
        <f t="shared" si="17"/>
        <v>0</v>
      </c>
      <c r="H32" s="500">
        <f t="shared" si="17"/>
        <v>0</v>
      </c>
      <c r="I32" s="500">
        <f t="shared" si="17"/>
        <v>0</v>
      </c>
      <c r="J32" s="500">
        <f t="shared" si="17"/>
        <v>0</v>
      </c>
      <c r="K32" s="500">
        <f t="shared" si="17"/>
        <v>0</v>
      </c>
      <c r="L32" s="500">
        <f t="shared" si="17"/>
        <v>0</v>
      </c>
      <c r="M32" s="500">
        <f t="shared" si="17"/>
        <v>0</v>
      </c>
      <c r="N32" s="500">
        <f t="shared" si="17"/>
        <v>0</v>
      </c>
      <c r="O32" s="500">
        <f t="shared" si="17"/>
        <v>0</v>
      </c>
      <c r="P32" s="500">
        <f t="shared" si="17"/>
        <v>0</v>
      </c>
      <c r="Q32" s="500">
        <f t="shared" si="17"/>
        <v>0</v>
      </c>
      <c r="R32" s="500">
        <f t="shared" si="17"/>
        <v>0</v>
      </c>
      <c r="S32" s="500">
        <f t="shared" si="17"/>
        <v>0</v>
      </c>
      <c r="T32" s="500">
        <f t="shared" si="17"/>
        <v>0</v>
      </c>
      <c r="U32" s="500">
        <f aca="true" t="shared" si="18" ref="U32:AB32">U30*U31</f>
        <v>0</v>
      </c>
      <c r="V32" s="500">
        <f t="shared" si="18"/>
        <v>0</v>
      </c>
      <c r="W32" s="500">
        <f t="shared" si="18"/>
        <v>0</v>
      </c>
      <c r="X32" s="500">
        <f t="shared" si="18"/>
        <v>0</v>
      </c>
      <c r="Y32" s="500">
        <f t="shared" si="18"/>
        <v>0</v>
      </c>
      <c r="Z32" s="500">
        <f t="shared" si="18"/>
        <v>0</v>
      </c>
      <c r="AA32" s="500">
        <f t="shared" si="18"/>
        <v>0</v>
      </c>
      <c r="AB32" s="500">
        <f t="shared" si="18"/>
        <v>0</v>
      </c>
      <c r="AC32" s="500">
        <f>AC30*AC31</f>
        <v>0</v>
      </c>
      <c r="AD32" s="501">
        <f>AD30*AD31</f>
        <v>0</v>
      </c>
    </row>
    <row r="33" ht="17.25" customHeight="1" thickBot="1"/>
    <row r="34" spans="2:16" s="239" customFormat="1" ht="12.75">
      <c r="B34" s="518" t="str">
        <f>IF('0 Úvod'!$M$3="English",Slovnik!D306,Slovnik!C306)</f>
        <v>Ekonomické vnitřní výnosové procento ERR</v>
      </c>
      <c r="C34" s="521"/>
      <c r="D34" s="522"/>
      <c r="E34" s="522"/>
      <c r="F34" s="523" t="e">
        <f>ROUND(IRR((F14:AD14,F30:AD30),-0.1),4)</f>
        <v>#NUM!</v>
      </c>
      <c r="H34" s="240"/>
      <c r="J34" s="241"/>
      <c r="K34" s="241"/>
      <c r="L34" s="241"/>
      <c r="M34" s="241"/>
      <c r="N34" s="241"/>
      <c r="O34" s="242"/>
      <c r="P34" s="242"/>
    </row>
    <row r="35" spans="2:16" s="239" customFormat="1" ht="12.75">
      <c r="B35" s="527" t="str">
        <f>IF('0 Úvod'!$M$3="English",Slovnik!D307,Slovnik!C307)</f>
        <v>Ekonomická čistá současná hodnota ENPV (CZK)</v>
      </c>
      <c r="C35" s="524"/>
      <c r="D35" s="525"/>
      <c r="E35" s="525"/>
      <c r="F35" s="526">
        <f>SUM(F16:AD16,F32:AD32)</f>
        <v>0</v>
      </c>
      <c r="H35" s="243"/>
      <c r="I35" s="244"/>
      <c r="J35" s="243"/>
      <c r="K35" s="243"/>
      <c r="L35" s="243"/>
      <c r="M35" s="243"/>
      <c r="N35" s="243"/>
      <c r="O35" s="245"/>
      <c r="P35" s="245"/>
    </row>
    <row r="36" spans="2:6" ht="13.5" thickBot="1">
      <c r="B36" s="489" t="str">
        <f>IF('0 Úvod'!$M$3="English",Slovnik!D308,Slovnik!C308)</f>
        <v>Rentabilita nákladů</v>
      </c>
      <c r="C36" s="490"/>
      <c r="D36" s="491"/>
      <c r="E36" s="491"/>
      <c r="F36" s="492" t="e">
        <f>(SUMPRODUCT(F10:AD10,F15:AD15)+SUMPRODUCT(F26:AD26,F31:AD31))/((SUMPRODUCT(F13:AD13,F15:AD15)+SUMPRODUCT(F29:AD29,F31:AD31)))</f>
        <v>#DIV/0!</v>
      </c>
    </row>
    <row r="37" spans="2:6" ht="13.5" thickBot="1">
      <c r="B37" s="493" t="str">
        <f>IF('0 Úvod'!$M$3="English",Slovnik!D309,Slovnik!C309)</f>
        <v>Ekonomická čistá současná hodnota ENPV (EUR)</v>
      </c>
      <c r="C37" s="494"/>
      <c r="D37" s="495"/>
      <c r="E37" s="495"/>
      <c r="F37" s="496">
        <f>F35/'0 Úvod'!N16</f>
        <v>0</v>
      </c>
    </row>
    <row r="38" spans="2:5" ht="12.75">
      <c r="B38" s="246"/>
      <c r="C38" s="246"/>
      <c r="D38" s="246"/>
      <c r="E38" s="246"/>
    </row>
    <row r="39" ht="12" thickBot="1"/>
    <row r="40" spans="2:16" ht="11.25">
      <c r="B40" s="1315" t="str">
        <f>IF('0 Úvod'!$M$3="English",Slovnik!D310,Slovnik!C310)</f>
        <v>Komentáře</v>
      </c>
      <c r="C40" s="1316"/>
      <c r="D40" s="1316"/>
      <c r="E40" s="1316"/>
      <c r="F40" s="1316"/>
      <c r="G40" s="1316"/>
      <c r="H40" s="1316"/>
      <c r="I40" s="1316"/>
      <c r="J40" s="1316"/>
      <c r="K40" s="1316"/>
      <c r="L40" s="1316"/>
      <c r="M40" s="1316"/>
      <c r="N40" s="1316"/>
      <c r="O40" s="1316"/>
      <c r="P40" s="1317"/>
    </row>
    <row r="41" spans="2:16" ht="12" thickBot="1">
      <c r="B41" s="1318"/>
      <c r="C41" s="1319"/>
      <c r="D41" s="1319"/>
      <c r="E41" s="1319"/>
      <c r="F41" s="1319"/>
      <c r="G41" s="1319"/>
      <c r="H41" s="1319"/>
      <c r="I41" s="1319"/>
      <c r="J41" s="1319"/>
      <c r="K41" s="1319"/>
      <c r="L41" s="1319"/>
      <c r="M41" s="1319"/>
      <c r="N41" s="1319"/>
      <c r="O41" s="1319"/>
      <c r="P41" s="1320"/>
    </row>
    <row r="42" spans="2:16" ht="12.75">
      <c r="B42" s="882" t="str">
        <f>IF('0 Úvod'!$M$3="English",Slovnik!D311,Slovnik!C311)</f>
        <v>Mohou být zahrnuty i jiné přínosy a náklady dle konkrétního projektu. </v>
      </c>
      <c r="C42" s="883"/>
      <c r="D42" s="884"/>
      <c r="E42" s="884"/>
      <c r="F42" s="884"/>
      <c r="G42" s="885"/>
      <c r="H42" s="884"/>
      <c r="I42" s="884"/>
      <c r="J42" s="884"/>
      <c r="K42" s="884"/>
      <c r="L42" s="884"/>
      <c r="M42" s="884"/>
      <c r="N42" s="884"/>
      <c r="O42" s="884"/>
      <c r="P42" s="886"/>
    </row>
    <row r="43" spans="2:16" ht="13.5" thickBot="1">
      <c r="B43" s="887"/>
      <c r="C43" s="888"/>
      <c r="D43" s="889"/>
      <c r="E43" s="889"/>
      <c r="F43" s="889"/>
      <c r="G43" s="890"/>
      <c r="H43" s="889"/>
      <c r="I43" s="889"/>
      <c r="J43" s="889"/>
      <c r="K43" s="889"/>
      <c r="L43" s="889"/>
      <c r="M43" s="889"/>
      <c r="N43" s="889"/>
      <c r="O43" s="889"/>
      <c r="P43" s="891"/>
    </row>
    <row r="46" spans="6:19" ht="11.25" hidden="1">
      <c r="F46" s="230"/>
      <c r="G46" s="230"/>
      <c r="H46" s="230"/>
      <c r="I46" s="230"/>
      <c r="J46" s="230"/>
      <c r="K46" s="230"/>
      <c r="L46" s="231"/>
      <c r="M46" s="230"/>
      <c r="N46" s="230"/>
      <c r="O46" s="1223"/>
      <c r="P46" s="231"/>
      <c r="Q46" s="234"/>
      <c r="R46" s="231"/>
      <c r="S46" s="232"/>
    </row>
    <row r="47" spans="6:19" ht="11.25" hidden="1">
      <c r="F47" s="230">
        <v>2008</v>
      </c>
      <c r="G47" s="230"/>
      <c r="H47" s="230">
        <f>F11</f>
        <v>0</v>
      </c>
      <c r="I47" s="230">
        <v>0</v>
      </c>
      <c r="J47" s="230">
        <f>F4</f>
        <v>0</v>
      </c>
      <c r="K47" s="230">
        <f>F8</f>
        <v>0</v>
      </c>
      <c r="L47" s="230">
        <f>F7</f>
        <v>0</v>
      </c>
      <c r="M47" s="230">
        <f>-H47+J47+K47+L47</f>
        <v>0</v>
      </c>
      <c r="N47" s="230">
        <f>M47*Q47</f>
        <v>0</v>
      </c>
      <c r="O47" s="232">
        <f>N47</f>
        <v>0</v>
      </c>
      <c r="Q47" s="227">
        <v>1</v>
      </c>
      <c r="R47" s="231"/>
      <c r="S47" s="232"/>
    </row>
    <row r="48" spans="6:19" ht="11.25" hidden="1">
      <c r="F48" s="230">
        <v>2009</v>
      </c>
      <c r="G48" s="230"/>
      <c r="H48" s="230">
        <f>G11</f>
        <v>0</v>
      </c>
      <c r="I48" s="230">
        <v>0</v>
      </c>
      <c r="J48" s="230">
        <f>G4</f>
        <v>0</v>
      </c>
      <c r="K48" s="230">
        <f>G8</f>
        <v>0</v>
      </c>
      <c r="L48" s="230">
        <f>G7</f>
        <v>0</v>
      </c>
      <c r="M48" s="230">
        <f aca="true" t="shared" si="19" ref="M48:M79">-H48+J48+K48+L48</f>
        <v>0</v>
      </c>
      <c r="N48" s="230">
        <f aca="true" t="shared" si="20" ref="N48:N80">M48*Q48</f>
        <v>0</v>
      </c>
      <c r="O48" s="232">
        <f>N48+O47</f>
        <v>0</v>
      </c>
      <c r="Q48" s="227">
        <f>Q47/(1+'0 Úvod'!$D$18)</f>
        <v>0.9478672985781991</v>
      </c>
      <c r="R48" s="231"/>
      <c r="S48" s="232"/>
    </row>
    <row r="49" spans="6:19" ht="11.25" hidden="1">
      <c r="F49" s="230">
        <v>2010</v>
      </c>
      <c r="G49" s="230"/>
      <c r="H49" s="230">
        <f>H11</f>
        <v>0</v>
      </c>
      <c r="I49" s="230">
        <v>0</v>
      </c>
      <c r="J49" s="230">
        <f>H4</f>
        <v>0</v>
      </c>
      <c r="K49" s="230">
        <f>H8</f>
        <v>0</v>
      </c>
      <c r="L49" s="230">
        <f>H7</f>
        <v>0</v>
      </c>
      <c r="M49" s="230">
        <f t="shared" si="19"/>
        <v>0</v>
      </c>
      <c r="N49" s="230">
        <f t="shared" si="20"/>
        <v>0</v>
      </c>
      <c r="O49" s="232">
        <f aca="true" t="shared" si="21" ref="O49:O80">N49+O48</f>
        <v>0</v>
      </c>
      <c r="Q49" s="227">
        <f>Q48/(1+'0 Úvod'!$D$18)</f>
        <v>0.8984524157139329</v>
      </c>
      <c r="R49" s="231"/>
      <c r="S49" s="232"/>
    </row>
    <row r="50" spans="6:19" ht="11.25" hidden="1">
      <c r="F50" s="230">
        <v>2011</v>
      </c>
      <c r="G50" s="230"/>
      <c r="H50" s="230">
        <f>I11</f>
        <v>0</v>
      </c>
      <c r="I50" s="230">
        <v>0</v>
      </c>
      <c r="J50" s="230">
        <f>I4</f>
        <v>0</v>
      </c>
      <c r="K50" s="230">
        <f>I8</f>
        <v>0</v>
      </c>
      <c r="L50" s="230">
        <f>I7</f>
        <v>0</v>
      </c>
      <c r="M50" s="230">
        <f t="shared" si="19"/>
        <v>0</v>
      </c>
      <c r="N50" s="230">
        <f t="shared" si="20"/>
        <v>0</v>
      </c>
      <c r="O50" s="232">
        <f t="shared" si="21"/>
        <v>0</v>
      </c>
      <c r="Q50" s="227">
        <f>Q49/(1+'0 Úvod'!$D$18)</f>
        <v>0.8516136641838227</v>
      </c>
      <c r="R50" s="231"/>
      <c r="S50" s="232"/>
    </row>
    <row r="51" spans="6:19" ht="11.25" hidden="1">
      <c r="F51" s="230">
        <v>2012</v>
      </c>
      <c r="G51" s="230"/>
      <c r="H51" s="230">
        <f>J11</f>
        <v>0</v>
      </c>
      <c r="I51" s="230">
        <v>0</v>
      </c>
      <c r="J51" s="230">
        <f>J4</f>
        <v>0</v>
      </c>
      <c r="K51" s="230">
        <f>J8</f>
        <v>0</v>
      </c>
      <c r="L51" s="230">
        <f>J7</f>
        <v>0</v>
      </c>
      <c r="M51" s="230">
        <f t="shared" si="19"/>
        <v>0</v>
      </c>
      <c r="N51" s="230">
        <f t="shared" si="20"/>
        <v>0</v>
      </c>
      <c r="O51" s="232">
        <f t="shared" si="21"/>
        <v>0</v>
      </c>
      <c r="Q51" s="227">
        <f>Q50/(1+'0 Úvod'!$D$18)</f>
        <v>0.8072167433022016</v>
      </c>
      <c r="R51" s="231"/>
      <c r="S51" s="232"/>
    </row>
    <row r="52" spans="6:19" ht="11.25" hidden="1">
      <c r="F52" s="230">
        <v>2013</v>
      </c>
      <c r="G52" s="230"/>
      <c r="H52" s="230">
        <f>K11</f>
        <v>0</v>
      </c>
      <c r="I52" s="230">
        <v>0</v>
      </c>
      <c r="J52" s="230">
        <f>K4</f>
        <v>0</v>
      </c>
      <c r="K52" s="230">
        <f>K8</f>
        <v>0</v>
      </c>
      <c r="L52" s="230">
        <f>K7</f>
        <v>0</v>
      </c>
      <c r="M52" s="230">
        <f t="shared" si="19"/>
        <v>0</v>
      </c>
      <c r="N52" s="230">
        <f t="shared" si="20"/>
        <v>0</v>
      </c>
      <c r="O52" s="232">
        <f t="shared" si="21"/>
        <v>0</v>
      </c>
      <c r="Q52" s="227">
        <f>Q51/(1+'0 Úvod'!$D$18)</f>
        <v>0.7651343538409494</v>
      </c>
      <c r="R52" s="231"/>
      <c r="S52" s="232"/>
    </row>
    <row r="53" spans="6:19" ht="11.25" hidden="1">
      <c r="F53" s="230">
        <v>2014</v>
      </c>
      <c r="G53" s="230"/>
      <c r="H53" s="230">
        <f>L11</f>
        <v>0</v>
      </c>
      <c r="I53" s="230">
        <v>0</v>
      </c>
      <c r="J53" s="230">
        <f>L4</f>
        <v>0</v>
      </c>
      <c r="K53" s="230">
        <f>L8</f>
        <v>0</v>
      </c>
      <c r="L53" s="230">
        <f>L7</f>
        <v>0</v>
      </c>
      <c r="M53" s="230">
        <f t="shared" si="19"/>
        <v>0</v>
      </c>
      <c r="N53" s="230">
        <f t="shared" si="20"/>
        <v>0</v>
      </c>
      <c r="O53" s="232">
        <f t="shared" si="21"/>
        <v>0</v>
      </c>
      <c r="Q53" s="227">
        <f>Q52/(1+'0 Úvod'!$D$18)</f>
        <v>0.7252458330245967</v>
      </c>
      <c r="R53" s="231"/>
      <c r="S53" s="232"/>
    </row>
    <row r="54" spans="6:19" ht="11.25" hidden="1">
      <c r="F54" s="230">
        <v>2015</v>
      </c>
      <c r="G54" s="230"/>
      <c r="H54" s="230">
        <f>M11</f>
        <v>0</v>
      </c>
      <c r="I54" s="230">
        <v>0</v>
      </c>
      <c r="J54" s="230">
        <f>M4</f>
        <v>0</v>
      </c>
      <c r="K54" s="230">
        <f>M8</f>
        <v>0</v>
      </c>
      <c r="L54" s="230">
        <f>M7</f>
        <v>0</v>
      </c>
      <c r="M54" s="230">
        <f t="shared" si="19"/>
        <v>0</v>
      </c>
      <c r="N54" s="230">
        <f t="shared" si="20"/>
        <v>0</v>
      </c>
      <c r="O54" s="232">
        <f t="shared" si="21"/>
        <v>0</v>
      </c>
      <c r="Q54" s="227">
        <f>Q53/(1+'0 Úvod'!$D$18)</f>
        <v>0.6874368085541201</v>
      </c>
      <c r="R54" s="231"/>
      <c r="S54" s="232"/>
    </row>
    <row r="55" spans="6:19" ht="11.25" hidden="1">
      <c r="F55" s="230">
        <v>2016</v>
      </c>
      <c r="G55" s="230"/>
      <c r="H55" s="230">
        <f>N11</f>
        <v>0</v>
      </c>
      <c r="I55" s="230">
        <v>0</v>
      </c>
      <c r="J55" s="230">
        <f>N4</f>
        <v>0</v>
      </c>
      <c r="K55" s="230">
        <f>N8</f>
        <v>0</v>
      </c>
      <c r="L55" s="230">
        <f>N7</f>
        <v>0</v>
      </c>
      <c r="M55" s="230">
        <f t="shared" si="19"/>
        <v>0</v>
      </c>
      <c r="N55" s="230">
        <f t="shared" si="20"/>
        <v>0</v>
      </c>
      <c r="O55" s="232">
        <f t="shared" si="21"/>
        <v>0</v>
      </c>
      <c r="Q55" s="227">
        <f>Q54/(1+'0 Úvod'!$D$18)</f>
        <v>0.6515988706674125</v>
      </c>
      <c r="R55" s="231"/>
      <c r="S55" s="232"/>
    </row>
    <row r="56" spans="6:19" ht="11.25" hidden="1">
      <c r="F56" s="230">
        <v>2017</v>
      </c>
      <c r="G56" s="230"/>
      <c r="H56" s="230">
        <v>0</v>
      </c>
      <c r="I56" s="230">
        <v>0</v>
      </c>
      <c r="J56" s="230">
        <f>O4</f>
        <v>0</v>
      </c>
      <c r="K56" s="230">
        <f>O8</f>
        <v>0</v>
      </c>
      <c r="L56" s="230">
        <f>O7</f>
        <v>0</v>
      </c>
      <c r="M56" s="230">
        <f t="shared" si="19"/>
        <v>0</v>
      </c>
      <c r="N56" s="230">
        <f t="shared" si="20"/>
        <v>0</v>
      </c>
      <c r="O56" s="232">
        <f t="shared" si="21"/>
        <v>0</v>
      </c>
      <c r="Q56" s="227">
        <f>Q55/(1+'0 Úvod'!$D$18)</f>
        <v>0.6176292612961256</v>
      </c>
      <c r="R56" s="231"/>
      <c r="S56" s="232"/>
    </row>
    <row r="57" spans="6:19" ht="11.25" hidden="1">
      <c r="F57" s="230">
        <v>2018</v>
      </c>
      <c r="G57" s="230"/>
      <c r="H57" s="230">
        <v>0</v>
      </c>
      <c r="I57" s="230">
        <v>0</v>
      </c>
      <c r="J57" s="230">
        <f>P4</f>
        <v>0</v>
      </c>
      <c r="K57" s="230">
        <f>P8</f>
        <v>0</v>
      </c>
      <c r="L57" s="230">
        <f>P7</f>
        <v>0</v>
      </c>
      <c r="M57" s="230">
        <f t="shared" si="19"/>
        <v>0</v>
      </c>
      <c r="N57" s="230">
        <f t="shared" si="20"/>
        <v>0</v>
      </c>
      <c r="O57" s="232">
        <f t="shared" si="21"/>
        <v>0</v>
      </c>
      <c r="Q57" s="227">
        <f>Q56/(1+'0 Úvod'!$D$18)</f>
        <v>0.5854305794276072</v>
      </c>
      <c r="R57" s="231"/>
      <c r="S57" s="232"/>
    </row>
    <row r="58" spans="6:19" ht="11.25" hidden="1">
      <c r="F58" s="230">
        <v>2019</v>
      </c>
      <c r="G58" s="230"/>
      <c r="H58" s="230">
        <v>0</v>
      </c>
      <c r="I58" s="230">
        <v>0</v>
      </c>
      <c r="J58" s="230">
        <f>Q4</f>
        <v>0</v>
      </c>
      <c r="K58" s="230">
        <f>Q8</f>
        <v>0</v>
      </c>
      <c r="L58" s="230">
        <f>Q7</f>
        <v>0</v>
      </c>
      <c r="M58" s="230">
        <f t="shared" si="19"/>
        <v>0</v>
      </c>
      <c r="N58" s="230">
        <f t="shared" si="20"/>
        <v>0</v>
      </c>
      <c r="O58" s="232">
        <f t="shared" si="21"/>
        <v>0</v>
      </c>
      <c r="Q58" s="227">
        <f>Q57/(1+'0 Úvod'!$D$18)</f>
        <v>0.5549105018271159</v>
      </c>
      <c r="R58" s="231"/>
      <c r="S58" s="232"/>
    </row>
    <row r="59" spans="6:19" ht="11.25" hidden="1">
      <c r="F59" s="230">
        <v>2020</v>
      </c>
      <c r="G59" s="230"/>
      <c r="H59" s="230">
        <v>0</v>
      </c>
      <c r="I59" s="230">
        <v>0</v>
      </c>
      <c r="J59" s="230">
        <f>R4</f>
        <v>0</v>
      </c>
      <c r="K59" s="230">
        <f>R8</f>
        <v>0</v>
      </c>
      <c r="L59" s="230">
        <f>R7</f>
        <v>0</v>
      </c>
      <c r="M59" s="230">
        <f t="shared" si="19"/>
        <v>0</v>
      </c>
      <c r="N59" s="230">
        <f t="shared" si="20"/>
        <v>0</v>
      </c>
      <c r="O59" s="232">
        <f t="shared" si="21"/>
        <v>0</v>
      </c>
      <c r="Q59" s="227">
        <f>Q58/(1+'0 Úvod'!$D$18)</f>
        <v>0.5259815183195411</v>
      </c>
      <c r="R59" s="231"/>
      <c r="S59" s="232"/>
    </row>
    <row r="60" spans="6:19" ht="11.25" hidden="1">
      <c r="F60" s="230">
        <v>2021</v>
      </c>
      <c r="G60" s="230"/>
      <c r="H60" s="230">
        <v>0</v>
      </c>
      <c r="I60" s="230">
        <v>0</v>
      </c>
      <c r="J60" s="230">
        <f>S4</f>
        <v>0</v>
      </c>
      <c r="K60" s="230">
        <f>S8</f>
        <v>0</v>
      </c>
      <c r="L60" s="230">
        <f>S7</f>
        <v>0</v>
      </c>
      <c r="M60" s="230">
        <f t="shared" si="19"/>
        <v>0</v>
      </c>
      <c r="N60" s="230">
        <f t="shared" si="20"/>
        <v>0</v>
      </c>
      <c r="O60" s="232">
        <f t="shared" si="21"/>
        <v>0</v>
      </c>
      <c r="Q60" s="227">
        <f>Q59/(1+'0 Úvod'!$D$18)</f>
        <v>0.498560680871603</v>
      </c>
      <c r="R60" s="231"/>
      <c r="S60" s="232"/>
    </row>
    <row r="61" spans="6:19" ht="11.25" hidden="1">
      <c r="F61" s="230">
        <v>2022</v>
      </c>
      <c r="G61" s="230"/>
      <c r="H61" s="230">
        <v>0</v>
      </c>
      <c r="I61" s="230">
        <v>0</v>
      </c>
      <c r="J61" s="230">
        <f>T4</f>
        <v>0</v>
      </c>
      <c r="K61" s="230">
        <f>T8</f>
        <v>0</v>
      </c>
      <c r="L61" s="230">
        <f>T7</f>
        <v>0</v>
      </c>
      <c r="M61" s="230">
        <f t="shared" si="19"/>
        <v>0</v>
      </c>
      <c r="N61" s="230">
        <f t="shared" si="20"/>
        <v>0</v>
      </c>
      <c r="O61" s="232">
        <f t="shared" si="21"/>
        <v>0</v>
      </c>
      <c r="Q61" s="227">
        <f>Q60/(1+'0 Úvod'!$D$18)</f>
        <v>0.47256936575507397</v>
      </c>
      <c r="R61" s="231"/>
      <c r="S61" s="232"/>
    </row>
    <row r="62" spans="6:19" ht="11.25" hidden="1">
      <c r="F62" s="230">
        <v>2023</v>
      </c>
      <c r="G62" s="230"/>
      <c r="H62" s="230">
        <v>0</v>
      </c>
      <c r="I62" s="230">
        <v>0</v>
      </c>
      <c r="J62" s="230">
        <f>U4</f>
        <v>0</v>
      </c>
      <c r="K62" s="230">
        <f>U8</f>
        <v>0</v>
      </c>
      <c r="L62" s="230">
        <f>U7</f>
        <v>0</v>
      </c>
      <c r="M62" s="230">
        <f t="shared" si="19"/>
        <v>0</v>
      </c>
      <c r="N62" s="230">
        <f t="shared" si="20"/>
        <v>0</v>
      </c>
      <c r="O62" s="232">
        <f t="shared" si="21"/>
        <v>0</v>
      </c>
      <c r="Q62" s="227">
        <f>Q61/(1+'0 Úvod'!$D$18)</f>
        <v>0.44793304810907486</v>
      </c>
      <c r="R62" s="231"/>
      <c r="S62" s="232"/>
    </row>
    <row r="63" spans="6:19" ht="11.25" hidden="1">
      <c r="F63" s="230">
        <v>2024</v>
      </c>
      <c r="G63" s="230"/>
      <c r="H63" s="230">
        <v>0</v>
      </c>
      <c r="I63" s="230">
        <v>0</v>
      </c>
      <c r="J63" s="230">
        <f>V4</f>
        <v>0</v>
      </c>
      <c r="K63" s="230">
        <f>V8</f>
        <v>0</v>
      </c>
      <c r="L63" s="230">
        <f>V7</f>
        <v>0</v>
      </c>
      <c r="M63" s="230">
        <f t="shared" si="19"/>
        <v>0</v>
      </c>
      <c r="N63" s="230">
        <f t="shared" si="20"/>
        <v>0</v>
      </c>
      <c r="O63" s="232">
        <f t="shared" si="21"/>
        <v>0</v>
      </c>
      <c r="Q63" s="227">
        <f>Q62/(1+'0 Úvod'!$D$18)</f>
        <v>0.4245810882550473</v>
      </c>
      <c r="R63" s="231"/>
      <c r="S63" s="232"/>
    </row>
    <row r="64" spans="6:19" ht="11.25" hidden="1">
      <c r="F64" s="230">
        <v>2025</v>
      </c>
      <c r="G64" s="230"/>
      <c r="H64" s="230">
        <v>0</v>
      </c>
      <c r="I64" s="230">
        <v>0</v>
      </c>
      <c r="J64" s="230">
        <f>W4</f>
        <v>0</v>
      </c>
      <c r="K64" s="230">
        <f>W8</f>
        <v>0</v>
      </c>
      <c r="L64" s="230">
        <f>W7</f>
        <v>0</v>
      </c>
      <c r="M64" s="230">
        <f t="shared" si="19"/>
        <v>0</v>
      </c>
      <c r="N64" s="230">
        <f t="shared" si="20"/>
        <v>0</v>
      </c>
      <c r="O64" s="232">
        <f t="shared" si="21"/>
        <v>0</v>
      </c>
      <c r="Q64" s="227">
        <f>Q63/(1+'0 Úvod'!$D$18)</f>
        <v>0.40244652915170365</v>
      </c>
      <c r="R64" s="231"/>
      <c r="S64" s="232"/>
    </row>
    <row r="65" spans="6:19" ht="11.25" hidden="1">
      <c r="F65" s="230">
        <v>2026</v>
      </c>
      <c r="G65" s="230"/>
      <c r="H65" s="230">
        <v>0</v>
      </c>
      <c r="I65" s="230">
        <v>0</v>
      </c>
      <c r="J65" s="230">
        <f>X4</f>
        <v>0</v>
      </c>
      <c r="K65" s="230">
        <f>X8</f>
        <v>0</v>
      </c>
      <c r="L65" s="230">
        <f>X7</f>
        <v>0</v>
      </c>
      <c r="M65" s="230">
        <f t="shared" si="19"/>
        <v>0</v>
      </c>
      <c r="N65" s="230">
        <f t="shared" si="20"/>
        <v>0</v>
      </c>
      <c r="O65" s="232">
        <f t="shared" si="21"/>
        <v>0</v>
      </c>
      <c r="Q65" s="227">
        <f>Q64/(1+'0 Úvod'!$D$18)</f>
        <v>0.3814659044091978</v>
      </c>
      <c r="R65" s="231"/>
      <c r="S65" s="232"/>
    </row>
    <row r="66" spans="6:19" ht="11.25" hidden="1">
      <c r="F66" s="230">
        <v>2027</v>
      </c>
      <c r="G66" s="230"/>
      <c r="H66" s="230">
        <v>0</v>
      </c>
      <c r="I66" s="230">
        <v>0</v>
      </c>
      <c r="J66" s="230">
        <f>Y4</f>
        <v>0</v>
      </c>
      <c r="K66" s="230">
        <f>Y8</f>
        <v>0</v>
      </c>
      <c r="L66" s="230">
        <f>Y7</f>
        <v>0</v>
      </c>
      <c r="M66" s="230">
        <f t="shared" si="19"/>
        <v>0</v>
      </c>
      <c r="N66" s="230">
        <f t="shared" si="20"/>
        <v>0</v>
      </c>
      <c r="O66" s="232">
        <f t="shared" si="21"/>
        <v>0</v>
      </c>
      <c r="Q66" s="227">
        <f>Q65/(1+'0 Úvod'!$D$18)</f>
        <v>0.36157905631203585</v>
      </c>
      <c r="R66" s="231"/>
      <c r="S66" s="232"/>
    </row>
    <row r="67" spans="6:19" ht="11.25" hidden="1">
      <c r="F67" s="230">
        <v>2028</v>
      </c>
      <c r="G67" s="230"/>
      <c r="H67" s="230">
        <v>0</v>
      </c>
      <c r="I67" s="230">
        <v>0</v>
      </c>
      <c r="J67" s="230">
        <f>Z4</f>
        <v>0</v>
      </c>
      <c r="K67" s="230">
        <f>Z8</f>
        <v>0</v>
      </c>
      <c r="L67" s="230">
        <f>Z7</f>
        <v>0</v>
      </c>
      <c r="M67" s="230">
        <f t="shared" si="19"/>
        <v>0</v>
      </c>
      <c r="N67" s="230">
        <f t="shared" si="20"/>
        <v>0</v>
      </c>
      <c r="O67" s="232">
        <f t="shared" si="21"/>
        <v>0</v>
      </c>
      <c r="Q67" s="227">
        <f>Q66/(1+'0 Úvod'!$D$18)</f>
        <v>0.342728963328944</v>
      </c>
      <c r="R67" s="231"/>
      <c r="S67" s="232"/>
    </row>
    <row r="68" spans="6:19" ht="11.25" hidden="1">
      <c r="F68" s="230">
        <v>2029</v>
      </c>
      <c r="G68" s="230"/>
      <c r="H68" s="230">
        <v>0</v>
      </c>
      <c r="I68" s="230">
        <v>0</v>
      </c>
      <c r="J68" s="230">
        <f>AA4</f>
        <v>0</v>
      </c>
      <c r="K68" s="230">
        <f>AA8</f>
        <v>0</v>
      </c>
      <c r="L68" s="230">
        <f>AA7</f>
        <v>0</v>
      </c>
      <c r="M68" s="230">
        <f t="shared" si="19"/>
        <v>0</v>
      </c>
      <c r="N68" s="230">
        <f t="shared" si="20"/>
        <v>0</v>
      </c>
      <c r="O68" s="232">
        <f t="shared" si="21"/>
        <v>0</v>
      </c>
      <c r="Q68" s="227">
        <f>Q67/(1+'0 Úvod'!$D$18)</f>
        <v>0.3248615766151128</v>
      </c>
      <c r="R68" s="231"/>
      <c r="S68" s="232"/>
    </row>
    <row r="69" spans="6:19" ht="11.25" hidden="1">
      <c r="F69" s="230">
        <v>2030</v>
      </c>
      <c r="G69" s="230"/>
      <c r="H69" s="230">
        <v>0</v>
      </c>
      <c r="I69" s="230">
        <v>0</v>
      </c>
      <c r="J69" s="230">
        <f>AB4</f>
        <v>0</v>
      </c>
      <c r="K69" s="230">
        <f>AB8</f>
        <v>0</v>
      </c>
      <c r="L69" s="230">
        <f>AB7</f>
        <v>0</v>
      </c>
      <c r="M69" s="230">
        <f t="shared" si="19"/>
        <v>0</v>
      </c>
      <c r="N69" s="230">
        <f t="shared" si="20"/>
        <v>0</v>
      </c>
      <c r="O69" s="232">
        <f t="shared" si="21"/>
        <v>0</v>
      </c>
      <c r="Q69" s="227">
        <f>Q68/(1+'0 Úvod'!$D$18)</f>
        <v>0.3079256650380216</v>
      </c>
      <c r="R69" s="231"/>
      <c r="S69" s="232"/>
    </row>
    <row r="70" spans="6:19" ht="11.25" hidden="1">
      <c r="F70" s="230">
        <v>2031</v>
      </c>
      <c r="G70" s="230"/>
      <c r="H70" s="230">
        <v>0</v>
      </c>
      <c r="I70" s="230">
        <v>0</v>
      </c>
      <c r="J70" s="230">
        <f>AC4</f>
        <v>0</v>
      </c>
      <c r="K70" s="230">
        <f>AC8</f>
        <v>0</v>
      </c>
      <c r="L70" s="230">
        <f>AC7</f>
        <v>0</v>
      </c>
      <c r="M70" s="230">
        <f t="shared" si="19"/>
        <v>0</v>
      </c>
      <c r="N70" s="230">
        <f t="shared" si="20"/>
        <v>0</v>
      </c>
      <c r="O70" s="232">
        <f t="shared" si="21"/>
        <v>0</v>
      </c>
      <c r="Q70" s="227">
        <f>Q69/(1+'0 Úvod'!$D$18)</f>
        <v>0.2918726682824849</v>
      </c>
      <c r="R70" s="231"/>
      <c r="S70" s="232"/>
    </row>
    <row r="71" spans="6:19" ht="11.25" hidden="1">
      <c r="F71" s="230">
        <v>2032</v>
      </c>
      <c r="G71" s="230"/>
      <c r="H71" s="230">
        <v>0</v>
      </c>
      <c r="I71" s="230">
        <v>0</v>
      </c>
      <c r="J71" s="230">
        <f>AD4</f>
        <v>0</v>
      </c>
      <c r="K71" s="230">
        <f>AD8</f>
        <v>0</v>
      </c>
      <c r="L71" s="232">
        <f>AD7</f>
        <v>0</v>
      </c>
      <c r="M71" s="230">
        <f t="shared" si="19"/>
        <v>0</v>
      </c>
      <c r="N71" s="230">
        <f t="shared" si="20"/>
        <v>0</v>
      </c>
      <c r="O71" s="232">
        <f t="shared" si="21"/>
        <v>0</v>
      </c>
      <c r="Q71" s="227">
        <f>Q70/(1+'0 Úvod'!$D$18)</f>
        <v>0.2766565576137298</v>
      </c>
      <c r="R71" s="231"/>
      <c r="S71" s="232"/>
    </row>
    <row r="72" spans="6:19" ht="11.25" hidden="1">
      <c r="F72" s="230">
        <v>2033</v>
      </c>
      <c r="G72" s="230"/>
      <c r="H72" s="230">
        <v>0</v>
      </c>
      <c r="I72" s="230">
        <v>0</v>
      </c>
      <c r="J72" s="230">
        <f>F20</f>
        <v>0</v>
      </c>
      <c r="K72" s="230">
        <f>F24</f>
        <v>0</v>
      </c>
      <c r="L72" s="1234">
        <f>F23</f>
        <v>0</v>
      </c>
      <c r="M72" s="230">
        <f t="shared" si="19"/>
        <v>0</v>
      </c>
      <c r="N72" s="230">
        <f t="shared" si="20"/>
        <v>0</v>
      </c>
      <c r="O72" s="232">
        <f t="shared" si="21"/>
        <v>0</v>
      </c>
      <c r="Q72" s="227">
        <f>Q71/(1+'0 Úvod'!$D$18)</f>
        <v>0.26223370389927</v>
      </c>
      <c r="R72" s="231"/>
      <c r="S72" s="232"/>
    </row>
    <row r="73" spans="6:19" ht="11.25" hidden="1">
      <c r="F73" s="230">
        <v>2034</v>
      </c>
      <c r="G73" s="230"/>
      <c r="H73" s="230">
        <v>0</v>
      </c>
      <c r="I73" s="230">
        <v>0</v>
      </c>
      <c r="J73" s="230">
        <f>G20</f>
        <v>0</v>
      </c>
      <c r="K73" s="230">
        <f>G24</f>
        <v>0</v>
      </c>
      <c r="L73" s="1234">
        <f>G23</f>
        <v>0</v>
      </c>
      <c r="M73" s="230">
        <f t="shared" si="19"/>
        <v>0</v>
      </c>
      <c r="N73" s="230">
        <f t="shared" si="20"/>
        <v>0</v>
      </c>
      <c r="O73" s="232">
        <f t="shared" si="21"/>
        <v>0</v>
      </c>
      <c r="Q73" s="227">
        <f>Q72/(1+'0 Úvod'!$D$18)</f>
        <v>0.2485627525111564</v>
      </c>
      <c r="R73" s="231"/>
      <c r="S73" s="232"/>
    </row>
    <row r="74" spans="6:19" ht="11.25" hidden="1">
      <c r="F74" s="230">
        <v>2035</v>
      </c>
      <c r="G74" s="230"/>
      <c r="H74" s="230">
        <v>0</v>
      </c>
      <c r="I74" s="230">
        <v>0</v>
      </c>
      <c r="J74" s="230">
        <f>H20</f>
        <v>0</v>
      </c>
      <c r="K74" s="230">
        <f>H24</f>
        <v>0</v>
      </c>
      <c r="L74" s="1234">
        <f>H23</f>
        <v>0</v>
      </c>
      <c r="M74" s="230">
        <f t="shared" si="19"/>
        <v>0</v>
      </c>
      <c r="N74" s="230">
        <f t="shared" si="20"/>
        <v>0</v>
      </c>
      <c r="O74" s="232">
        <f t="shared" si="21"/>
        <v>0</v>
      </c>
      <c r="Q74" s="227">
        <f>Q73/(1+'0 Úvod'!$D$18)</f>
        <v>0.2356045047499113</v>
      </c>
      <c r="R74" s="231"/>
      <c r="S74" s="232"/>
    </row>
    <row r="75" spans="6:19" ht="11.25" hidden="1">
      <c r="F75" s="230">
        <v>2036</v>
      </c>
      <c r="G75" s="230"/>
      <c r="H75" s="230">
        <v>0</v>
      </c>
      <c r="I75" s="230">
        <v>0</v>
      </c>
      <c r="J75" s="230">
        <f>I20</f>
        <v>0</v>
      </c>
      <c r="K75" s="230">
        <f>I24</f>
        <v>0</v>
      </c>
      <c r="L75" s="1234">
        <f>I23</f>
        <v>0</v>
      </c>
      <c r="M75" s="230">
        <f t="shared" si="19"/>
        <v>0</v>
      </c>
      <c r="N75" s="230">
        <f t="shared" si="20"/>
        <v>0</v>
      </c>
      <c r="O75" s="232">
        <f t="shared" si="21"/>
        <v>0</v>
      </c>
      <c r="Q75" s="227">
        <f>Q74/(1+'0 Úvod'!$D$18)</f>
        <v>0.2233218054501529</v>
      </c>
      <c r="R75" s="231"/>
      <c r="S75" s="232"/>
    </row>
    <row r="76" spans="6:19" ht="11.25" hidden="1">
      <c r="F76" s="230">
        <v>2037</v>
      </c>
      <c r="G76" s="230"/>
      <c r="H76" s="230">
        <v>0</v>
      </c>
      <c r="I76" s="230">
        <v>0</v>
      </c>
      <c r="J76" s="230">
        <f>J20</f>
        <v>0</v>
      </c>
      <c r="K76" s="230">
        <f>J24</f>
        <v>0</v>
      </c>
      <c r="L76" s="1234">
        <f>J23</f>
        <v>0</v>
      </c>
      <c r="M76" s="230">
        <f t="shared" si="19"/>
        <v>0</v>
      </c>
      <c r="N76" s="230">
        <f t="shared" si="20"/>
        <v>0</v>
      </c>
      <c r="O76" s="232">
        <f t="shared" si="21"/>
        <v>0</v>
      </c>
      <c r="Q76" s="227">
        <f>Q75/(1+'0 Úvod'!$D$18)</f>
        <v>0.21167943644564258</v>
      </c>
      <c r="R76" s="231"/>
      <c r="S76" s="232"/>
    </row>
    <row r="77" spans="6:19" ht="11.25" hidden="1">
      <c r="F77" s="230">
        <v>2038</v>
      </c>
      <c r="G77" s="230"/>
      <c r="H77" s="230">
        <v>0</v>
      </c>
      <c r="I77" s="230">
        <v>0</v>
      </c>
      <c r="J77" s="230">
        <f>K20</f>
        <v>0</v>
      </c>
      <c r="K77" s="230">
        <f>K24</f>
        <v>0</v>
      </c>
      <c r="L77" s="1234">
        <f>K23</f>
        <v>0</v>
      </c>
      <c r="M77" s="230">
        <f t="shared" si="19"/>
        <v>0</v>
      </c>
      <c r="N77" s="230">
        <f t="shared" si="20"/>
        <v>0</v>
      </c>
      <c r="O77" s="232">
        <f t="shared" si="21"/>
        <v>0</v>
      </c>
      <c r="Q77" s="227">
        <f>Q76/(1+'0 Úvod'!$D$18)</f>
        <v>0.20064401558828682</v>
      </c>
      <c r="R77" s="231"/>
      <c r="S77" s="232"/>
    </row>
    <row r="78" spans="6:19" ht="11.25" hidden="1">
      <c r="F78" s="230">
        <v>2039</v>
      </c>
      <c r="G78" s="230"/>
      <c r="H78" s="230">
        <v>0</v>
      </c>
      <c r="I78" s="230">
        <v>0</v>
      </c>
      <c r="J78" s="230">
        <f>L20</f>
        <v>0</v>
      </c>
      <c r="K78" s="230">
        <f>L24</f>
        <v>0</v>
      </c>
      <c r="L78" s="1234">
        <f>L23</f>
        <v>0</v>
      </c>
      <c r="M78" s="230">
        <f t="shared" si="19"/>
        <v>0</v>
      </c>
      <c r="N78" s="230">
        <f t="shared" si="20"/>
        <v>0</v>
      </c>
      <c r="O78" s="232">
        <f t="shared" si="21"/>
        <v>0</v>
      </c>
      <c r="Q78" s="227">
        <f>Q77/(1+'0 Úvod'!$D$18)</f>
        <v>0.1901839010315515</v>
      </c>
      <c r="R78" s="231"/>
      <c r="S78" s="232"/>
    </row>
    <row r="79" spans="6:19" ht="11.25" hidden="1">
      <c r="F79" s="230">
        <v>2040</v>
      </c>
      <c r="G79" s="230"/>
      <c r="H79" s="230">
        <v>0</v>
      </c>
      <c r="I79" s="230">
        <v>0</v>
      </c>
      <c r="J79" s="230">
        <f>M20</f>
        <v>0</v>
      </c>
      <c r="K79" s="230">
        <f>M24</f>
        <v>0</v>
      </c>
      <c r="L79" s="1234">
        <f>M23</f>
        <v>0</v>
      </c>
      <c r="M79" s="230">
        <f t="shared" si="19"/>
        <v>0</v>
      </c>
      <c r="N79" s="230">
        <f t="shared" si="20"/>
        <v>0</v>
      </c>
      <c r="O79" s="232">
        <f t="shared" si="21"/>
        <v>0</v>
      </c>
      <c r="Q79" s="227">
        <f>Q78/(1+'0 Úvod'!$D$18)</f>
        <v>0.1802691005038403</v>
      </c>
      <c r="R79" s="231"/>
      <c r="S79" s="232"/>
    </row>
    <row r="80" spans="6:17" ht="11.25" hidden="1">
      <c r="F80" s="230">
        <v>2041</v>
      </c>
      <c r="G80" s="230"/>
      <c r="H80" s="230">
        <v>0</v>
      </c>
      <c r="I80" s="230">
        <f>-N28</f>
        <v>0</v>
      </c>
      <c r="J80" s="230">
        <f>N20</f>
        <v>0</v>
      </c>
      <c r="K80" s="230">
        <f>N24</f>
        <v>0</v>
      </c>
      <c r="L80" s="1234">
        <f>N23</f>
        <v>0</v>
      </c>
      <c r="M80" s="230">
        <f>-H80+J80+K80+L80+I80</f>
        <v>0</v>
      </c>
      <c r="N80" s="230">
        <f t="shared" si="20"/>
        <v>0</v>
      </c>
      <c r="O80" s="232">
        <f t="shared" si="21"/>
        <v>0</v>
      </c>
      <c r="Q80" s="227">
        <f>Q79/(1+'0 Úvod'!$D$18)</f>
        <v>0.17087118531169695</v>
      </c>
    </row>
    <row r="81" ht="11.25" hidden="1"/>
  </sheetData>
  <sheetProtection/>
  <mergeCells count="53">
    <mergeCell ref="E2:E3"/>
    <mergeCell ref="E18:E19"/>
    <mergeCell ref="J2:J3"/>
    <mergeCell ref="K2:K3"/>
    <mergeCell ref="P2:P3"/>
    <mergeCell ref="M18:M19"/>
    <mergeCell ref="F2:F3"/>
    <mergeCell ref="G2:G3"/>
    <mergeCell ref="H2:H3"/>
    <mergeCell ref="O2:O3"/>
    <mergeCell ref="B40:P41"/>
    <mergeCell ref="R18:R19"/>
    <mergeCell ref="N18:N19"/>
    <mergeCell ref="O18:O19"/>
    <mergeCell ref="P18:P19"/>
    <mergeCell ref="L18:L19"/>
    <mergeCell ref="Q18:Q19"/>
    <mergeCell ref="T2:T3"/>
    <mergeCell ref="F18:F19"/>
    <mergeCell ref="G18:G19"/>
    <mergeCell ref="H18:H19"/>
    <mergeCell ref="I18:I19"/>
    <mergeCell ref="J18:J19"/>
    <mergeCell ref="K18:K19"/>
    <mergeCell ref="T18:T19"/>
    <mergeCell ref="R2:R3"/>
    <mergeCell ref="S2:S3"/>
    <mergeCell ref="S18:S19"/>
    <mergeCell ref="I2:I3"/>
    <mergeCell ref="L2:L3"/>
    <mergeCell ref="M2:M3"/>
    <mergeCell ref="Q2:Q3"/>
    <mergeCell ref="N2:N3"/>
    <mergeCell ref="Z2:Z3"/>
    <mergeCell ref="U18:U19"/>
    <mergeCell ref="V18:V19"/>
    <mergeCell ref="W18:W19"/>
    <mergeCell ref="X18:X19"/>
    <mergeCell ref="Y18:Y19"/>
    <mergeCell ref="Z18:Z19"/>
    <mergeCell ref="U2:U3"/>
    <mergeCell ref="V2:V3"/>
    <mergeCell ref="W2:W3"/>
    <mergeCell ref="X2:X3"/>
    <mergeCell ref="Y2:Y3"/>
    <mergeCell ref="AB18:AB19"/>
    <mergeCell ref="AC18:AC19"/>
    <mergeCell ref="AD2:AD3"/>
    <mergeCell ref="AD18:AD19"/>
    <mergeCell ref="AA2:AA3"/>
    <mergeCell ref="AB2:AB3"/>
    <mergeCell ref="AC2:AC3"/>
    <mergeCell ref="AA18:AA19"/>
  </mergeCells>
  <conditionalFormatting sqref="H34">
    <cfRule type="cellIs" priority="5" dxfId="6" operator="equal" stopIfTrue="1">
      <formula>"OK"</formula>
    </cfRule>
    <cfRule type="cellIs" priority="6" dxfId="0" operator="equal" stopIfTrue="1">
      <formula>"ERROR!"</formula>
    </cfRule>
  </conditionalFormatting>
  <conditionalFormatting sqref="F34">
    <cfRule type="iconSet" priority="1" dxfId="0">
      <iconSet iconSet="3Symbols2">
        <cfvo type="percent" val="0"/>
        <cfvo type="percent" val="&quot;0.05&quot;"/>
        <cfvo type="percent" val="&quot;0.05&quot;"/>
      </iconSet>
    </cfRule>
  </conditionalFormatting>
  <conditionalFormatting sqref="F35">
    <cfRule type="iconSet" priority="3" dxfId="0">
      <iconSet iconSet="3Symbols2">
        <cfvo type="percent" val="0"/>
        <cfvo type="num" val="0"/>
        <cfvo type="num" val="0"/>
      </iconSet>
    </cfRule>
  </conditionalFormatting>
  <printOptions/>
  <pageMargins left="0.19" right="0.15000000000000002" top="0.7900000000000001" bottom="0.7900000000000001" header="0.39000000000000007" footer="0.39000000000000007"/>
  <pageSetup fitToHeight="0" fitToWidth="1" horizontalDpi="600" verticalDpi="600" orientation="landscape" paperSize="9" scale="43" r:id="rId2"/>
  <headerFooter alignWithMargins="0">
    <oddFooter>&amp;L&amp;A&amp;C25.2.2013</oddFooter>
  </headerFooter>
  <legacyDrawing r:id="rId1"/>
</worksheet>
</file>

<file path=xl/worksheets/sheet12.xml><?xml version="1.0" encoding="utf-8"?>
<worksheet xmlns="http://schemas.openxmlformats.org/spreadsheetml/2006/main" xmlns:r="http://schemas.openxmlformats.org/officeDocument/2006/relationships">
  <sheetPr codeName="List30">
    <tabColor theme="3" tint="0.5999900102615356"/>
    <pageSetUpPr fitToPage="1"/>
  </sheetPr>
  <dimension ref="A1:AL78"/>
  <sheetViews>
    <sheetView zoomScale="90" zoomScaleNormal="90" zoomScalePageLayoutView="0" workbookViewId="0" topLeftCell="A1">
      <selection activeCell="R31" sqref="R31"/>
    </sheetView>
  </sheetViews>
  <sheetFormatPr defaultColWidth="9.140625" defaultRowHeight="12.75"/>
  <cols>
    <col min="1" max="1" width="2.421875" style="113" customWidth="1"/>
    <col min="2" max="2" width="5.7109375" style="113" customWidth="1"/>
    <col min="3" max="3" width="37.7109375" style="113" customWidth="1"/>
    <col min="4" max="4" width="12.7109375" style="113" customWidth="1"/>
    <col min="5" max="5" width="13.140625" style="113" customWidth="1"/>
    <col min="6" max="6" width="13.28125" style="113" customWidth="1"/>
    <col min="7" max="8" width="10.7109375" style="113" customWidth="1"/>
    <col min="9" max="9" width="13.140625" style="113" customWidth="1"/>
    <col min="10" max="29" width="10.7109375" style="113" customWidth="1"/>
    <col min="30" max="34" width="7.140625" style="113" customWidth="1"/>
    <col min="35" max="16384" width="9.140625" style="113" customWidth="1"/>
  </cols>
  <sheetData>
    <row r="1" spans="1:18" ht="12.75" customHeight="1" thickBot="1">
      <c r="A1" s="112"/>
      <c r="B1" s="112"/>
      <c r="C1" s="112"/>
      <c r="D1" s="112"/>
      <c r="E1" s="112"/>
      <c r="F1" s="112"/>
      <c r="G1" s="112"/>
      <c r="H1" s="112"/>
      <c r="I1" s="112"/>
      <c r="J1" s="112"/>
      <c r="K1" s="112"/>
      <c r="L1" s="112"/>
      <c r="M1" s="112"/>
      <c r="N1" s="112"/>
      <c r="O1" s="112"/>
      <c r="P1" s="112"/>
      <c r="Q1" s="112"/>
      <c r="R1" s="112"/>
    </row>
    <row r="2" spans="2:29" ht="11.25" customHeight="1">
      <c r="B2" s="948" t="s">
        <v>15</v>
      </c>
      <c r="C2" s="949" t="str">
        <f>IF('0 Úvod'!$M$3="English",Slovnik!D314,Slovnik!C314)</f>
        <v>Finanční analýza</v>
      </c>
      <c r="D2" s="950" t="s">
        <v>134</v>
      </c>
      <c r="E2" s="1503">
        <f>'0 Úvod'!G18</f>
        <v>2014</v>
      </c>
      <c r="F2" s="1503">
        <f aca="true" t="shared" si="0" ref="F2:AC2">E2+1</f>
        <v>2015</v>
      </c>
      <c r="G2" s="1503">
        <f t="shared" si="0"/>
        <v>2016</v>
      </c>
      <c r="H2" s="1503">
        <f t="shared" si="0"/>
        <v>2017</v>
      </c>
      <c r="I2" s="1503">
        <f t="shared" si="0"/>
        <v>2018</v>
      </c>
      <c r="J2" s="1503">
        <f t="shared" si="0"/>
        <v>2019</v>
      </c>
      <c r="K2" s="1503">
        <f t="shared" si="0"/>
        <v>2020</v>
      </c>
      <c r="L2" s="1503">
        <f t="shared" si="0"/>
        <v>2021</v>
      </c>
      <c r="M2" s="1503">
        <f t="shared" si="0"/>
        <v>2022</v>
      </c>
      <c r="N2" s="1503">
        <f t="shared" si="0"/>
        <v>2023</v>
      </c>
      <c r="O2" s="1503">
        <f t="shared" si="0"/>
        <v>2024</v>
      </c>
      <c r="P2" s="1503">
        <f t="shared" si="0"/>
        <v>2025</v>
      </c>
      <c r="Q2" s="1503">
        <f t="shared" si="0"/>
        <v>2026</v>
      </c>
      <c r="R2" s="1503">
        <f t="shared" si="0"/>
        <v>2027</v>
      </c>
      <c r="S2" s="1503">
        <f t="shared" si="0"/>
        <v>2028</v>
      </c>
      <c r="T2" s="1503">
        <f t="shared" si="0"/>
        <v>2029</v>
      </c>
      <c r="U2" s="1503">
        <f t="shared" si="0"/>
        <v>2030</v>
      </c>
      <c r="V2" s="1503">
        <f t="shared" si="0"/>
        <v>2031</v>
      </c>
      <c r="W2" s="1503">
        <f t="shared" si="0"/>
        <v>2032</v>
      </c>
      <c r="X2" s="1503">
        <f t="shared" si="0"/>
        <v>2033</v>
      </c>
      <c r="Y2" s="1503">
        <f t="shared" si="0"/>
        <v>2034</v>
      </c>
      <c r="Z2" s="1503">
        <f t="shared" si="0"/>
        <v>2035</v>
      </c>
      <c r="AA2" s="1503">
        <f t="shared" si="0"/>
        <v>2036</v>
      </c>
      <c r="AB2" s="1503">
        <f t="shared" si="0"/>
        <v>2037</v>
      </c>
      <c r="AC2" s="1505">
        <f t="shared" si="0"/>
        <v>2038</v>
      </c>
    </row>
    <row r="3" spans="1:29" ht="13.5" thickBot="1">
      <c r="A3" s="112"/>
      <c r="B3" s="951" t="s">
        <v>17</v>
      </c>
      <c r="C3" s="953"/>
      <c r="D3" s="952" t="str">
        <f>IF('0 Úvod'!$M$3="English",Slovnik!D315,Slovnik!C315)</f>
        <v>Celkem</v>
      </c>
      <c r="E3" s="1504"/>
      <c r="F3" s="1504"/>
      <c r="G3" s="1504"/>
      <c r="H3" s="1504"/>
      <c r="I3" s="1504"/>
      <c r="J3" s="1504"/>
      <c r="K3" s="1504"/>
      <c r="L3" s="1504"/>
      <c r="M3" s="1504"/>
      <c r="N3" s="1504"/>
      <c r="O3" s="1504"/>
      <c r="P3" s="1504"/>
      <c r="Q3" s="1504"/>
      <c r="R3" s="1504"/>
      <c r="S3" s="1504"/>
      <c r="T3" s="1504"/>
      <c r="U3" s="1504"/>
      <c r="V3" s="1504"/>
      <c r="W3" s="1504"/>
      <c r="X3" s="1504"/>
      <c r="Y3" s="1504"/>
      <c r="Z3" s="1504"/>
      <c r="AA3" s="1504"/>
      <c r="AB3" s="1504"/>
      <c r="AC3" s="1506"/>
    </row>
    <row r="4" spans="1:29" ht="12">
      <c r="A4" s="112"/>
      <c r="B4" s="930"/>
      <c r="C4" s="940" t="str">
        <f>IF('0 Úvod'!$M$3="English",Slovnik!D316,Slovnik!C316)</f>
        <v>Celkové přírůstkové provozní příjmy</v>
      </c>
      <c r="D4" s="911">
        <f aca="true" t="shared" si="1" ref="D4:D9">SUM(E4:AC4,E16:AC16)</f>
        <v>0</v>
      </c>
      <c r="E4" s="115">
        <f>IF(E2&lt;='0 Úvod'!$G$18+'0 Úvod'!$J$18-1,'4 Příjmy'!E32,0)</f>
        <v>0</v>
      </c>
      <c r="F4" s="115">
        <f>IF(F2&lt;='0 Úvod'!$G$18+'0 Úvod'!$J$18-1,'4 Příjmy'!F32,0)</f>
        <v>0</v>
      </c>
      <c r="G4" s="115">
        <f>IF(G2&lt;='0 Úvod'!$G$18+'0 Úvod'!$J$18-1,'4 Příjmy'!G32,0)</f>
        <v>0</v>
      </c>
      <c r="H4" s="115">
        <f>IF(H2&lt;='0 Úvod'!$G$18+'0 Úvod'!$J$18-1,'4 Příjmy'!H32,0)</f>
        <v>0</v>
      </c>
      <c r="I4" s="115">
        <f>IF(I2&lt;='0 Úvod'!$G$18+'0 Úvod'!$J$18-1,'4 Příjmy'!I32,0)</f>
        <v>0</v>
      </c>
      <c r="J4" s="115">
        <f>IF(J2&lt;='0 Úvod'!$G$18+'0 Úvod'!$J$18-1,'4 Příjmy'!J32,0)</f>
        <v>0</v>
      </c>
      <c r="K4" s="115">
        <f>IF(K2&lt;='0 Úvod'!$G$18+'0 Úvod'!$J$18-1,'4 Příjmy'!K32,0)</f>
        <v>0</v>
      </c>
      <c r="L4" s="115">
        <f>IF(L2&lt;='0 Úvod'!$G$18+'0 Úvod'!$J$18-1,'4 Příjmy'!L32,0)</f>
        <v>0</v>
      </c>
      <c r="M4" s="115">
        <f>IF(M2&lt;='0 Úvod'!$G$18+'0 Úvod'!$J$18-1,'4 Příjmy'!M32,0)</f>
        <v>0</v>
      </c>
      <c r="N4" s="115">
        <f>IF(N2&lt;='0 Úvod'!$G$18+'0 Úvod'!$J$18-1,'4 Příjmy'!N32,0)</f>
        <v>0</v>
      </c>
      <c r="O4" s="115">
        <f>IF(O2&lt;='0 Úvod'!$G$18+'0 Úvod'!$J$18-1,'4 Příjmy'!O32,0)</f>
        <v>0</v>
      </c>
      <c r="P4" s="115">
        <f>IF(P2&lt;='0 Úvod'!$G$18+'0 Úvod'!$J$18-1,'4 Příjmy'!P32,0)</f>
        <v>0</v>
      </c>
      <c r="Q4" s="115">
        <f>IF(Q2&lt;='0 Úvod'!$G$18+'0 Úvod'!$J$18-1,'4 Příjmy'!Q32,0)</f>
        <v>0</v>
      </c>
      <c r="R4" s="115">
        <f>IF(R2&lt;='0 Úvod'!$G$18+'0 Úvod'!$J$18-1,'4 Příjmy'!R32,0)</f>
        <v>0</v>
      </c>
      <c r="S4" s="115">
        <f>IF(S2&lt;='0 Úvod'!$G$18+'0 Úvod'!$J$18-1,'4 Příjmy'!S32,0)</f>
        <v>0</v>
      </c>
      <c r="T4" s="115">
        <f>IF(T2&lt;='0 Úvod'!$G$18+'0 Úvod'!$J$18-1,'4 Příjmy'!T32,0)</f>
        <v>0</v>
      </c>
      <c r="U4" s="115">
        <f>IF(U2&lt;='0 Úvod'!$G$18+'0 Úvod'!$J$18-1,'4 Příjmy'!U32,0)</f>
        <v>0</v>
      </c>
      <c r="V4" s="115">
        <f>IF(V2&lt;='0 Úvod'!$G$18+'0 Úvod'!$J$18-1,'4 Příjmy'!V32,0)</f>
        <v>0</v>
      </c>
      <c r="W4" s="115">
        <f>IF(W2&lt;='0 Úvod'!$G$18+'0 Úvod'!$J$18-1,'4 Příjmy'!W32,0)</f>
        <v>0</v>
      </c>
      <c r="X4" s="115">
        <f>IF(X2&lt;='0 Úvod'!$G$18+'0 Úvod'!$J$18-1,'4 Příjmy'!X32,0)</f>
        <v>0</v>
      </c>
      <c r="Y4" s="115">
        <f>IF(Y2&lt;='0 Úvod'!$G$18+'0 Úvod'!$J$18-1,'4 Příjmy'!Y32,0)</f>
        <v>0</v>
      </c>
      <c r="Z4" s="115">
        <f>IF(Z2&lt;='0 Úvod'!$G$18+'0 Úvod'!$J$18-1,'4 Příjmy'!Z32,0)</f>
        <v>0</v>
      </c>
      <c r="AA4" s="115">
        <f>IF(AA2&lt;='0 Úvod'!$G$18+'0 Úvod'!$J$18-1,'4 Příjmy'!AA32,0)</f>
        <v>0</v>
      </c>
      <c r="AB4" s="115">
        <f>IF(AB2&lt;='0 Úvod'!$G$18+'0 Úvod'!$J$18-1,'4 Příjmy'!AB32,0)</f>
        <v>0</v>
      </c>
      <c r="AC4" s="1063">
        <f>IF(AC2&lt;='0 Úvod'!$G$18+'0 Úvod'!$J$18-1,'4 Příjmy'!AC32,0)</f>
        <v>0</v>
      </c>
    </row>
    <row r="5" spans="2:29" ht="12">
      <c r="B5" s="932"/>
      <c r="C5" s="941" t="str">
        <f>IF('0 Úvod'!$M$3="English",Slovnik!D317,Slovnik!C317)</f>
        <v>Celkové výnosy</v>
      </c>
      <c r="D5" s="911">
        <f t="shared" si="1"/>
        <v>0</v>
      </c>
      <c r="E5" s="114">
        <f>SUM(E4)</f>
        <v>0</v>
      </c>
      <c r="F5" s="114">
        <f aca="true" t="shared" si="2" ref="F5:AC5">SUM(F4)</f>
        <v>0</v>
      </c>
      <c r="G5" s="114">
        <f t="shared" si="2"/>
        <v>0</v>
      </c>
      <c r="H5" s="114">
        <f t="shared" si="2"/>
        <v>0</v>
      </c>
      <c r="I5" s="114">
        <f t="shared" si="2"/>
        <v>0</v>
      </c>
      <c r="J5" s="114">
        <f t="shared" si="2"/>
        <v>0</v>
      </c>
      <c r="K5" s="114">
        <f t="shared" si="2"/>
        <v>0</v>
      </c>
      <c r="L5" s="114">
        <f t="shared" si="2"/>
        <v>0</v>
      </c>
      <c r="M5" s="114">
        <f t="shared" si="2"/>
        <v>0</v>
      </c>
      <c r="N5" s="114">
        <f t="shared" si="2"/>
        <v>0</v>
      </c>
      <c r="O5" s="114">
        <f t="shared" si="2"/>
        <v>0</v>
      </c>
      <c r="P5" s="114">
        <f t="shared" si="2"/>
        <v>0</v>
      </c>
      <c r="Q5" s="114">
        <f t="shared" si="2"/>
        <v>0</v>
      </c>
      <c r="R5" s="114">
        <f t="shared" si="2"/>
        <v>0</v>
      </c>
      <c r="S5" s="114">
        <f t="shared" si="2"/>
        <v>0</v>
      </c>
      <c r="T5" s="114">
        <f t="shared" si="2"/>
        <v>0</v>
      </c>
      <c r="U5" s="114">
        <f t="shared" si="2"/>
        <v>0</v>
      </c>
      <c r="V5" s="114">
        <f t="shared" si="2"/>
        <v>0</v>
      </c>
      <c r="W5" s="114">
        <f t="shared" si="2"/>
        <v>0</v>
      </c>
      <c r="X5" s="114">
        <f t="shared" si="2"/>
        <v>0</v>
      </c>
      <c r="Y5" s="114">
        <f t="shared" si="2"/>
        <v>0</v>
      </c>
      <c r="Z5" s="114">
        <f t="shared" si="2"/>
        <v>0</v>
      </c>
      <c r="AA5" s="114">
        <f t="shared" si="2"/>
        <v>0</v>
      </c>
      <c r="AB5" s="114">
        <f t="shared" si="2"/>
        <v>0</v>
      </c>
      <c r="AC5" s="1062">
        <f t="shared" si="2"/>
        <v>0</v>
      </c>
    </row>
    <row r="6" spans="2:29" ht="12">
      <c r="B6" s="933"/>
      <c r="C6" s="942" t="str">
        <f>IF('0 Úvod'!$M$3="English",Slovnik!D318,Slovnik!C318)</f>
        <v>Celkové přírůstkové provozní náklady</v>
      </c>
      <c r="D6" s="912">
        <f t="shared" si="1"/>
        <v>0</v>
      </c>
      <c r="E6" s="901">
        <f>IF(E2&lt;='0 Úvod'!$G$18+'0 Úvod'!$J$18-1,'3 Náklady I'!E47,0)</f>
        <v>0</v>
      </c>
      <c r="F6" s="901">
        <f>IF(F2&lt;='0 Úvod'!$G$18+'0 Úvod'!$J$18-1,'3 Náklady I'!F47,0)</f>
        <v>0</v>
      </c>
      <c r="G6" s="901">
        <f>IF(G2&lt;='0 Úvod'!$G$18+'0 Úvod'!$J$18-1,'3 Náklady I'!G47,0)</f>
        <v>0</v>
      </c>
      <c r="H6" s="901">
        <f>IF(H2&lt;='0 Úvod'!$G$18+'0 Úvod'!$J$18-1,'3 Náklady I'!H47,0)</f>
        <v>0</v>
      </c>
      <c r="I6" s="901">
        <f>IF(I2&lt;='0 Úvod'!$G$18+'0 Úvod'!$J$18-1,'3 Náklady I'!I47,0)</f>
        <v>0</v>
      </c>
      <c r="J6" s="901">
        <f>IF(J2&lt;='0 Úvod'!$G$18+'0 Úvod'!$J$18-1,'3 Náklady I'!J47,0)</f>
        <v>0</v>
      </c>
      <c r="K6" s="901">
        <f>IF(K2&lt;='0 Úvod'!$G$18+'0 Úvod'!$J$18-1,'3 Náklady I'!K47,0)</f>
        <v>0</v>
      </c>
      <c r="L6" s="901">
        <f>IF(L2&lt;='0 Úvod'!$G$18+'0 Úvod'!$J$18-1,'3 Náklady I'!L47,0)</f>
        <v>0</v>
      </c>
      <c r="M6" s="901">
        <f>IF(M2&lt;='0 Úvod'!$G$18+'0 Úvod'!$J$18-1,'3 Náklady I'!M47,0)</f>
        <v>0</v>
      </c>
      <c r="N6" s="901">
        <f>IF(N2&lt;='0 Úvod'!$G$18+'0 Úvod'!$J$18-1,'3 Náklady I'!N47,0)</f>
        <v>0</v>
      </c>
      <c r="O6" s="901">
        <f>IF(O2&lt;='0 Úvod'!$G$18+'0 Úvod'!$J$18-1,'3 Náklady I'!O47,0)</f>
        <v>0</v>
      </c>
      <c r="P6" s="901">
        <f>IF(P2&lt;='0 Úvod'!$G$18+'0 Úvod'!$J$18-1,'3 Náklady I'!P47,0)</f>
        <v>0</v>
      </c>
      <c r="Q6" s="901">
        <f>IF(Q2&lt;='0 Úvod'!$G$18+'0 Úvod'!$J$18-1,'3 Náklady I'!Q47,0)</f>
        <v>0</v>
      </c>
      <c r="R6" s="901">
        <f>IF(R2&lt;='0 Úvod'!$G$18+'0 Úvod'!$J$18-1,'3 Náklady I'!R47,0)</f>
        <v>0</v>
      </c>
      <c r="S6" s="901">
        <f>IF(S2&lt;='0 Úvod'!$G$18+'0 Úvod'!$J$18-1,'3 Náklady I'!S47,0)</f>
        <v>0</v>
      </c>
      <c r="T6" s="901">
        <f>IF(T2&lt;='0 Úvod'!$G$18+'0 Úvod'!$J$18-1,'3 Náklady I'!T47,0)</f>
        <v>0</v>
      </c>
      <c r="U6" s="901">
        <f>IF(U2&lt;='0 Úvod'!$G$18+'0 Úvod'!$J$18-1,'3 Náklady I'!U47,0)</f>
        <v>0</v>
      </c>
      <c r="V6" s="901">
        <f>IF(V2&lt;='0 Úvod'!$G$18+'0 Úvod'!$J$18-1,'3 Náklady I'!V47,0)</f>
        <v>0</v>
      </c>
      <c r="W6" s="901">
        <f>IF(W2&lt;='0 Úvod'!$G$18+'0 Úvod'!$J$18-1,'3 Náklady I'!W47,0)</f>
        <v>0</v>
      </c>
      <c r="X6" s="901">
        <f>IF(X2&lt;='0 Úvod'!$G$18+'0 Úvod'!$J$18-1,'3 Náklady I'!X47,0)</f>
        <v>0</v>
      </c>
      <c r="Y6" s="901">
        <f>IF(Y2&lt;='0 Úvod'!$G$18+'0 Úvod'!$J$18-1,'3 Náklady I'!Y47,0)</f>
        <v>0</v>
      </c>
      <c r="Z6" s="901">
        <f>IF(Z2&lt;='0 Úvod'!$G$18+'0 Úvod'!$J$18-1,'3 Náklady I'!Z47,0)</f>
        <v>0</v>
      </c>
      <c r="AA6" s="901">
        <f>IF(AA2&lt;='0 Úvod'!$G$18+'0 Úvod'!$J$18-1,'3 Náklady I'!AA47,0)</f>
        <v>0</v>
      </c>
      <c r="AB6" s="901">
        <f>IF(AB2&lt;='0 Úvod'!$G$18+'0 Úvod'!$J$18-1,'3 Náklady I'!AB47,0)</f>
        <v>0</v>
      </c>
      <c r="AC6" s="1061">
        <f>IF(AC2&lt;='0 Úvod'!$G$18+'0 Úvod'!$J$18-1,'3 Náklady I'!AC47,0)</f>
        <v>0</v>
      </c>
    </row>
    <row r="7" spans="2:29" ht="12">
      <c r="B7" s="930"/>
      <c r="C7" s="940" t="str">
        <f>IF('0 Úvod'!$M$3="English",Slovnik!D319,Slovnik!C319)</f>
        <v>Celkové invest. náklady bez rezervy</v>
      </c>
      <c r="D7" s="911">
        <f t="shared" si="1"/>
        <v>0</v>
      </c>
      <c r="E7" s="115">
        <f>IF(E2&lt;='0 Úvod'!$G$18+'0 Úvod'!$J$18-1,'1 CIN'!G10,0)</f>
        <v>0</v>
      </c>
      <c r="F7" s="115">
        <f>IF(F2&lt;='0 Úvod'!$G$18+'0 Úvod'!$J$18-1,'1 CIN'!H10,0)</f>
        <v>0</v>
      </c>
      <c r="G7" s="115">
        <f>IF(G2&lt;='0 Úvod'!$G$18+'0 Úvod'!$J$18-1,'1 CIN'!I10,0)</f>
        <v>0</v>
      </c>
      <c r="H7" s="115">
        <f>IF(H2&lt;='0 Úvod'!$G$18+'0 Úvod'!$J$18-1,'1 CIN'!J10,0)</f>
        <v>0</v>
      </c>
      <c r="I7" s="115">
        <f>IF(I2&lt;='0 Úvod'!$G$18+'0 Úvod'!$J$18-1,'1 CIN'!K10,0)</f>
        <v>0</v>
      </c>
      <c r="J7" s="115">
        <f>IF(J2&lt;='0 Úvod'!$G$18+'0 Úvod'!$J$18-1,'1 CIN'!L10,0)</f>
        <v>0</v>
      </c>
      <c r="K7" s="115">
        <f>IF(K2&lt;='0 Úvod'!$G$18+'0 Úvod'!$J$18-1,'1 CIN'!M10,0)</f>
        <v>0</v>
      </c>
      <c r="L7" s="115">
        <f>IF(L2&lt;='0 Úvod'!$G$18+'0 Úvod'!$J$18-1,'1 CIN'!N10,0)</f>
        <v>0</v>
      </c>
      <c r="M7" s="115">
        <f>IF(M2&lt;='0 Úvod'!$G$18+'0 Úvod'!$J$18-1,'1 CIN'!O10,0)</f>
        <v>0</v>
      </c>
      <c r="N7" s="115">
        <f>IF(N2&lt;='0 Úvod'!$G$18+'0 Úvod'!$J$18-1,'1 CIN'!P10,0)</f>
        <v>0</v>
      </c>
      <c r="O7" s="115">
        <f>IF(O2&lt;='0 Úvod'!$G$18+'0 Úvod'!$J$18-1,'1 CIN'!Q10,0)</f>
        <v>0</v>
      </c>
      <c r="P7" s="115">
        <f>IF(P2&lt;='0 Úvod'!$G$18+'0 Úvod'!$J$18-1,'1 CIN'!R10,0)</f>
        <v>0</v>
      </c>
      <c r="Q7" s="115">
        <f>IF(Q2&lt;='0 Úvod'!$G$18+'0 Úvod'!$J$18-1,'1 CIN'!S10,0)</f>
        <v>0</v>
      </c>
      <c r="R7" s="115">
        <f>IF(R2&lt;='0 Úvod'!$G$18+'0 Úvod'!$J$18-1,'1 CIN'!T10,0)</f>
        <v>0</v>
      </c>
      <c r="S7" s="115">
        <f>IF(S2&lt;='0 Úvod'!$G$18+'0 Úvod'!$J$18-1,'1 CIN'!U10,0)</f>
        <v>0</v>
      </c>
      <c r="T7" s="115">
        <f>IF(T2&lt;='0 Úvod'!$G$18+'0 Úvod'!$J$18-1,'1 CIN'!V10,0)</f>
        <v>0</v>
      </c>
      <c r="U7" s="115">
        <f>IF(U2&lt;='0 Úvod'!$G$18+'0 Úvod'!$J$18-1,'1 CIN'!W10,0)</f>
        <v>0</v>
      </c>
      <c r="V7" s="115">
        <f>IF(V2&lt;='0 Úvod'!$G$18+'0 Úvod'!$J$18-1,'1 CIN'!X10,0)</f>
        <v>0</v>
      </c>
      <c r="W7" s="115">
        <f>IF(W2&lt;='0 Úvod'!$G$18+'0 Úvod'!$J$18-1,'1 CIN'!Y10,0)</f>
        <v>0</v>
      </c>
      <c r="X7" s="115">
        <f>IF(X2&lt;='0 Úvod'!$G$18+'0 Úvod'!$J$18-1,'1 CIN'!Z10,0)</f>
        <v>0</v>
      </c>
      <c r="Y7" s="115">
        <f>IF(Y2&lt;='0 Úvod'!$G$18+'0 Úvod'!$J$18-1,'1 CIN'!AA10,0)</f>
        <v>0</v>
      </c>
      <c r="Z7" s="115">
        <f>IF(Z2&lt;='0 Úvod'!$G$18+'0 Úvod'!$J$18-1,'1 CIN'!AB10,0)</f>
        <v>0</v>
      </c>
      <c r="AA7" s="115">
        <f>IF(AA2&lt;='0 Úvod'!$G$18+'0 Úvod'!$J$18-1,'1 CIN'!AC10,0)</f>
        <v>0</v>
      </c>
      <c r="AB7" s="115">
        <f>IF(AB2&lt;='0 Úvod'!$G$18+'0 Úvod'!$J$18-1,'1 CIN'!AD10,0)</f>
        <v>0</v>
      </c>
      <c r="AC7" s="903">
        <f>IF(AC2&lt;='0 Úvod'!$G$18+'0 Úvod'!$J$18-1,'1 CIN'!AE10,0)</f>
        <v>0</v>
      </c>
    </row>
    <row r="8" spans="2:29" ht="12">
      <c r="B8" s="930"/>
      <c r="C8" s="940" t="str">
        <f>IF('0 Úvod'!$M$3="English",Slovnik!D320,Slovnik!C320)</f>
        <v>Zůstatková hodnota</v>
      </c>
      <c r="D8" s="911">
        <f t="shared" si="1"/>
        <v>0</v>
      </c>
      <c r="E8" s="115">
        <f>(-1)*'2 ZH'!E18</f>
        <v>0</v>
      </c>
      <c r="F8" s="115">
        <f>(-1)*'2 ZH'!F18</f>
        <v>0</v>
      </c>
      <c r="G8" s="115">
        <f>(-1)*'2 ZH'!G18</f>
        <v>0</v>
      </c>
      <c r="H8" s="115">
        <f>(-1)*'2 ZH'!H18</f>
        <v>0</v>
      </c>
      <c r="I8" s="115">
        <f>(-1)*'2 ZH'!I18</f>
        <v>0</v>
      </c>
      <c r="J8" s="115">
        <f>(-1)*'2 ZH'!J18</f>
        <v>0</v>
      </c>
      <c r="K8" s="115">
        <f>(-1)*'2 ZH'!K18</f>
        <v>0</v>
      </c>
      <c r="L8" s="115">
        <f>(-1)*'2 ZH'!L18</f>
        <v>0</v>
      </c>
      <c r="M8" s="115">
        <f>(-1)*'2 ZH'!M18</f>
        <v>0</v>
      </c>
      <c r="N8" s="115">
        <f>(-1)*'2 ZH'!N18</f>
        <v>0</v>
      </c>
      <c r="O8" s="115">
        <f>(-1)*'2 ZH'!O18</f>
        <v>0</v>
      </c>
      <c r="P8" s="115">
        <f>(-1)*'2 ZH'!P18</f>
        <v>0</v>
      </c>
      <c r="Q8" s="115">
        <f>(-1)*'2 ZH'!Q18</f>
        <v>0</v>
      </c>
      <c r="R8" s="115">
        <f>(-1)*'2 ZH'!R18</f>
        <v>0</v>
      </c>
      <c r="S8" s="115">
        <f>(-1)*'2 ZH'!S18</f>
        <v>0</v>
      </c>
      <c r="T8" s="115">
        <f>(-1)*'2 ZH'!T18</f>
        <v>0</v>
      </c>
      <c r="U8" s="115">
        <f>(-1)*'2 ZH'!U18</f>
        <v>0</v>
      </c>
      <c r="V8" s="115">
        <f>(-1)*'2 ZH'!V18</f>
        <v>0</v>
      </c>
      <c r="W8" s="115">
        <f>(-1)*'2 ZH'!W18</f>
        <v>0</v>
      </c>
      <c r="X8" s="115">
        <f>(-1)*'2 ZH'!X18</f>
        <v>0</v>
      </c>
      <c r="Y8" s="115">
        <f>(-1)*'2 ZH'!Y18</f>
        <v>0</v>
      </c>
      <c r="Z8" s="115">
        <f>(-1)*'2 ZH'!Z18</f>
        <v>0</v>
      </c>
      <c r="AA8" s="115">
        <f>(-1)*'2 ZH'!AA18</f>
        <v>0</v>
      </c>
      <c r="AB8" s="115">
        <f>(-1)*'2 ZH'!AB18</f>
        <v>0</v>
      </c>
      <c r="AC8" s="903">
        <f>(-1)*'2 ZH'!AC18</f>
        <v>0</v>
      </c>
    </row>
    <row r="9" spans="2:29" ht="12">
      <c r="B9" s="934"/>
      <c r="C9" s="943" t="str">
        <f>IF('0 Úvod'!$M$3="English",Slovnik!D321,Slovnik!C321)</f>
        <v>Celkové náklady</v>
      </c>
      <c r="D9" s="911">
        <f t="shared" si="1"/>
        <v>0</v>
      </c>
      <c r="E9" s="902">
        <f>SUM(E6:E8)</f>
        <v>0</v>
      </c>
      <c r="F9" s="902">
        <f aca="true" t="shared" si="3" ref="F9:AC9">SUM(F6:F8)</f>
        <v>0</v>
      </c>
      <c r="G9" s="902">
        <f t="shared" si="3"/>
        <v>0</v>
      </c>
      <c r="H9" s="902">
        <f t="shared" si="3"/>
        <v>0</v>
      </c>
      <c r="I9" s="902">
        <f t="shared" si="3"/>
        <v>0</v>
      </c>
      <c r="J9" s="902">
        <f t="shared" si="3"/>
        <v>0</v>
      </c>
      <c r="K9" s="902">
        <f t="shared" si="3"/>
        <v>0</v>
      </c>
      <c r="L9" s="902">
        <f t="shared" si="3"/>
        <v>0</v>
      </c>
      <c r="M9" s="902">
        <f t="shared" si="3"/>
        <v>0</v>
      </c>
      <c r="N9" s="902">
        <f t="shared" si="3"/>
        <v>0</v>
      </c>
      <c r="O9" s="902">
        <f t="shared" si="3"/>
        <v>0</v>
      </c>
      <c r="P9" s="902">
        <f t="shared" si="3"/>
        <v>0</v>
      </c>
      <c r="Q9" s="902">
        <f t="shared" si="3"/>
        <v>0</v>
      </c>
      <c r="R9" s="902">
        <f t="shared" si="3"/>
        <v>0</v>
      </c>
      <c r="S9" s="902">
        <f t="shared" si="3"/>
        <v>0</v>
      </c>
      <c r="T9" s="902">
        <f t="shared" si="3"/>
        <v>0</v>
      </c>
      <c r="U9" s="902">
        <f t="shared" si="3"/>
        <v>0</v>
      </c>
      <c r="V9" s="902">
        <f t="shared" si="3"/>
        <v>0</v>
      </c>
      <c r="W9" s="902">
        <f t="shared" si="3"/>
        <v>0</v>
      </c>
      <c r="X9" s="902">
        <f t="shared" si="3"/>
        <v>0</v>
      </c>
      <c r="Y9" s="902">
        <f t="shared" si="3"/>
        <v>0</v>
      </c>
      <c r="Z9" s="902">
        <f t="shared" si="3"/>
        <v>0</v>
      </c>
      <c r="AA9" s="902">
        <f t="shared" si="3"/>
        <v>0</v>
      </c>
      <c r="AB9" s="902">
        <f t="shared" si="3"/>
        <v>0</v>
      </c>
      <c r="AC9" s="904">
        <f t="shared" si="3"/>
        <v>0</v>
      </c>
    </row>
    <row r="10" spans="2:29" ht="12">
      <c r="B10" s="932"/>
      <c r="C10" s="941" t="str">
        <f>IF('0 Úvod'!$M$3="English",Slovnik!D322,Slovnik!C322)</f>
        <v>Cash Flow </v>
      </c>
      <c r="D10" s="1021"/>
      <c r="E10" s="114">
        <f aca="true" t="shared" si="4" ref="E10:AC10">E5-E9</f>
        <v>0</v>
      </c>
      <c r="F10" s="114">
        <f t="shared" si="4"/>
        <v>0</v>
      </c>
      <c r="G10" s="114">
        <f t="shared" si="4"/>
        <v>0</v>
      </c>
      <c r="H10" s="114">
        <f t="shared" si="4"/>
        <v>0</v>
      </c>
      <c r="I10" s="114">
        <f t="shared" si="4"/>
        <v>0</v>
      </c>
      <c r="J10" s="114">
        <f t="shared" si="4"/>
        <v>0</v>
      </c>
      <c r="K10" s="114">
        <f t="shared" si="4"/>
        <v>0</v>
      </c>
      <c r="L10" s="114">
        <f t="shared" si="4"/>
        <v>0</v>
      </c>
      <c r="M10" s="114">
        <f t="shared" si="4"/>
        <v>0</v>
      </c>
      <c r="N10" s="114">
        <f t="shared" si="4"/>
        <v>0</v>
      </c>
      <c r="O10" s="114">
        <f t="shared" si="4"/>
        <v>0</v>
      </c>
      <c r="P10" s="114">
        <f t="shared" si="4"/>
        <v>0</v>
      </c>
      <c r="Q10" s="114">
        <f t="shared" si="4"/>
        <v>0</v>
      </c>
      <c r="R10" s="114">
        <f t="shared" si="4"/>
        <v>0</v>
      </c>
      <c r="S10" s="114">
        <f t="shared" si="4"/>
        <v>0</v>
      </c>
      <c r="T10" s="114">
        <f t="shared" si="4"/>
        <v>0</v>
      </c>
      <c r="U10" s="114">
        <f t="shared" si="4"/>
        <v>0</v>
      </c>
      <c r="V10" s="114">
        <f t="shared" si="4"/>
        <v>0</v>
      </c>
      <c r="W10" s="114">
        <f t="shared" si="4"/>
        <v>0</v>
      </c>
      <c r="X10" s="114">
        <f t="shared" si="4"/>
        <v>0</v>
      </c>
      <c r="Y10" s="114">
        <f t="shared" si="4"/>
        <v>0</v>
      </c>
      <c r="Z10" s="114">
        <f t="shared" si="4"/>
        <v>0</v>
      </c>
      <c r="AA10" s="114">
        <f t="shared" si="4"/>
        <v>0</v>
      </c>
      <c r="AB10" s="114">
        <f t="shared" si="4"/>
        <v>0</v>
      </c>
      <c r="AC10" s="903">
        <f t="shared" si="4"/>
        <v>0</v>
      </c>
    </row>
    <row r="11" spans="1:29" ht="12">
      <c r="A11" s="116"/>
      <c r="B11" s="935"/>
      <c r="C11" s="931" t="str">
        <f>IF('0 Úvod'!$M$3="English",Slovnik!D323,Slovnik!C323)</f>
        <v>Diskontní sazba</v>
      </c>
      <c r="D11" s="938">
        <f>'0 Úvod'!D16</f>
        <v>0.05</v>
      </c>
      <c r="E11" s="117">
        <v>1</v>
      </c>
      <c r="F11" s="117">
        <f>E11/(1+$D$11)</f>
        <v>0.9523809523809523</v>
      </c>
      <c r="G11" s="117">
        <f>F11/(1+$D$11)</f>
        <v>0.9070294784580498</v>
      </c>
      <c r="H11" s="117">
        <f>G11*1/(1+$D$11)</f>
        <v>0.863837598531476</v>
      </c>
      <c r="I11" s="117">
        <f>H11*1/(1+$D$11)</f>
        <v>0.8227024747918819</v>
      </c>
      <c r="J11" s="117">
        <f aca="true" t="shared" si="5" ref="J11:AC11">I11*1/(1+$D$11)</f>
        <v>0.7835261664684589</v>
      </c>
      <c r="K11" s="117">
        <f t="shared" si="5"/>
        <v>0.7462153966366274</v>
      </c>
      <c r="L11" s="117">
        <f t="shared" si="5"/>
        <v>0.7106813301301212</v>
      </c>
      <c r="M11" s="117">
        <f t="shared" si="5"/>
        <v>0.6768393620286869</v>
      </c>
      <c r="N11" s="117">
        <f t="shared" si="5"/>
        <v>0.644608916217797</v>
      </c>
      <c r="O11" s="117">
        <f t="shared" si="5"/>
        <v>0.6139132535407591</v>
      </c>
      <c r="P11" s="117">
        <f t="shared" si="5"/>
        <v>0.5846792890864372</v>
      </c>
      <c r="Q11" s="117">
        <f t="shared" si="5"/>
        <v>0.5568374181775592</v>
      </c>
      <c r="R11" s="117">
        <f t="shared" si="5"/>
        <v>0.5303213506452944</v>
      </c>
      <c r="S11" s="117">
        <f t="shared" si="5"/>
        <v>0.5050679529955184</v>
      </c>
      <c r="T11" s="117">
        <f t="shared" si="5"/>
        <v>0.48101709809096993</v>
      </c>
      <c r="U11" s="117">
        <f t="shared" si="5"/>
        <v>0.45811152199139993</v>
      </c>
      <c r="V11" s="117">
        <f t="shared" si="5"/>
        <v>0.43629668761085705</v>
      </c>
      <c r="W11" s="117">
        <f t="shared" si="5"/>
        <v>0.4155206548674829</v>
      </c>
      <c r="X11" s="117">
        <f t="shared" si="5"/>
        <v>0.3957339570166504</v>
      </c>
      <c r="Y11" s="117">
        <f t="shared" si="5"/>
        <v>0.37688948287300034</v>
      </c>
      <c r="Z11" s="117">
        <f t="shared" si="5"/>
        <v>0.3589423646409527</v>
      </c>
      <c r="AA11" s="117">
        <f t="shared" si="5"/>
        <v>0.3418498710866216</v>
      </c>
      <c r="AB11" s="117">
        <f t="shared" si="5"/>
        <v>0.3255713057967825</v>
      </c>
      <c r="AC11" s="905">
        <f t="shared" si="5"/>
        <v>0.31006791028265</v>
      </c>
    </row>
    <row r="12" spans="1:29" s="118" customFormat="1" ht="12.75" thickBot="1">
      <c r="A12" s="114"/>
      <c r="B12" s="936"/>
      <c r="C12" s="937" t="str">
        <f>IF('0 Úvod'!$M$3="English",Slovnik!D324,Slovnik!C324)</f>
        <v>Diskontované cash flow</v>
      </c>
      <c r="D12" s="939"/>
      <c r="E12" s="906">
        <f>E10*E11</f>
        <v>0</v>
      </c>
      <c r="F12" s="906">
        <f aca="true" t="shared" si="6" ref="F12:AC12">F10*F11</f>
        <v>0</v>
      </c>
      <c r="G12" s="906">
        <f t="shared" si="6"/>
        <v>0</v>
      </c>
      <c r="H12" s="906">
        <f t="shared" si="6"/>
        <v>0</v>
      </c>
      <c r="I12" s="906">
        <f t="shared" si="6"/>
        <v>0</v>
      </c>
      <c r="J12" s="906">
        <f t="shared" si="6"/>
        <v>0</v>
      </c>
      <c r="K12" s="906">
        <f t="shared" si="6"/>
        <v>0</v>
      </c>
      <c r="L12" s="906">
        <f t="shared" si="6"/>
        <v>0</v>
      </c>
      <c r="M12" s="906">
        <f t="shared" si="6"/>
        <v>0</v>
      </c>
      <c r="N12" s="906">
        <f t="shared" si="6"/>
        <v>0</v>
      </c>
      <c r="O12" s="906">
        <f t="shared" si="6"/>
        <v>0</v>
      </c>
      <c r="P12" s="906">
        <f t="shared" si="6"/>
        <v>0</v>
      </c>
      <c r="Q12" s="906">
        <f t="shared" si="6"/>
        <v>0</v>
      </c>
      <c r="R12" s="906">
        <f t="shared" si="6"/>
        <v>0</v>
      </c>
      <c r="S12" s="906">
        <f t="shared" si="6"/>
        <v>0</v>
      </c>
      <c r="T12" s="906">
        <f t="shared" si="6"/>
        <v>0</v>
      </c>
      <c r="U12" s="906">
        <f t="shared" si="6"/>
        <v>0</v>
      </c>
      <c r="V12" s="906">
        <f t="shared" si="6"/>
        <v>0</v>
      </c>
      <c r="W12" s="906">
        <f t="shared" si="6"/>
        <v>0</v>
      </c>
      <c r="X12" s="906">
        <f t="shared" si="6"/>
        <v>0</v>
      </c>
      <c r="Y12" s="906">
        <f t="shared" si="6"/>
        <v>0</v>
      </c>
      <c r="Z12" s="906">
        <f t="shared" si="6"/>
        <v>0</v>
      </c>
      <c r="AA12" s="906">
        <f t="shared" si="6"/>
        <v>0</v>
      </c>
      <c r="AB12" s="906">
        <f t="shared" si="6"/>
        <v>0</v>
      </c>
      <c r="AC12" s="907">
        <f t="shared" si="6"/>
        <v>0</v>
      </c>
    </row>
    <row r="13" spans="1:28" ht="12" customHeight="1" thickBot="1">
      <c r="A13" s="112"/>
      <c r="B13" s="112"/>
      <c r="C13" s="112"/>
      <c r="D13" s="119"/>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row>
    <row r="14" spans="1:29" ht="11.25" customHeight="1">
      <c r="A14" s="120"/>
      <c r="B14" s="948" t="s">
        <v>15</v>
      </c>
      <c r="C14" s="949" t="str">
        <f>C2</f>
        <v>Finanční analýza</v>
      </c>
      <c r="D14" s="950" t="s">
        <v>134</v>
      </c>
      <c r="E14" s="1503">
        <f>AC2+1</f>
        <v>2039</v>
      </c>
      <c r="F14" s="1503">
        <f aca="true" t="shared" si="7" ref="F14:AC14">E14+1</f>
        <v>2040</v>
      </c>
      <c r="G14" s="1503">
        <f t="shared" si="7"/>
        <v>2041</v>
      </c>
      <c r="H14" s="1503">
        <f t="shared" si="7"/>
        <v>2042</v>
      </c>
      <c r="I14" s="1503">
        <f t="shared" si="7"/>
        <v>2043</v>
      </c>
      <c r="J14" s="1503">
        <f t="shared" si="7"/>
        <v>2044</v>
      </c>
      <c r="K14" s="1503">
        <f t="shared" si="7"/>
        <v>2045</v>
      </c>
      <c r="L14" s="1503">
        <f t="shared" si="7"/>
        <v>2046</v>
      </c>
      <c r="M14" s="1503">
        <f t="shared" si="7"/>
        <v>2047</v>
      </c>
      <c r="N14" s="1503">
        <f t="shared" si="7"/>
        <v>2048</v>
      </c>
      <c r="O14" s="1503">
        <f t="shared" si="7"/>
        <v>2049</v>
      </c>
      <c r="P14" s="1503">
        <f t="shared" si="7"/>
        <v>2050</v>
      </c>
      <c r="Q14" s="1503">
        <f t="shared" si="7"/>
        <v>2051</v>
      </c>
      <c r="R14" s="1503">
        <f t="shared" si="7"/>
        <v>2052</v>
      </c>
      <c r="S14" s="1503">
        <f t="shared" si="7"/>
        <v>2053</v>
      </c>
      <c r="T14" s="1503">
        <f t="shared" si="7"/>
        <v>2054</v>
      </c>
      <c r="U14" s="1503">
        <f t="shared" si="7"/>
        <v>2055</v>
      </c>
      <c r="V14" s="1503">
        <f t="shared" si="7"/>
        <v>2056</v>
      </c>
      <c r="W14" s="1503">
        <f t="shared" si="7"/>
        <v>2057</v>
      </c>
      <c r="X14" s="1503">
        <f t="shared" si="7"/>
        <v>2058</v>
      </c>
      <c r="Y14" s="1503">
        <f t="shared" si="7"/>
        <v>2059</v>
      </c>
      <c r="Z14" s="1503">
        <f t="shared" si="7"/>
        <v>2060</v>
      </c>
      <c r="AA14" s="1503">
        <f t="shared" si="7"/>
        <v>2061</v>
      </c>
      <c r="AB14" s="1503">
        <f t="shared" si="7"/>
        <v>2062</v>
      </c>
      <c r="AC14" s="1505">
        <f t="shared" si="7"/>
        <v>2063</v>
      </c>
    </row>
    <row r="15" spans="1:29" ht="12.75" customHeight="1" thickBot="1">
      <c r="A15" s="121"/>
      <c r="B15" s="951" t="s">
        <v>19</v>
      </c>
      <c r="C15" s="953"/>
      <c r="D15" s="952"/>
      <c r="E15" s="1504"/>
      <c r="F15" s="1504"/>
      <c r="G15" s="1504"/>
      <c r="H15" s="1504"/>
      <c r="I15" s="1504"/>
      <c r="J15" s="1504"/>
      <c r="K15" s="1504"/>
      <c r="L15" s="1504"/>
      <c r="M15" s="1504"/>
      <c r="N15" s="1504"/>
      <c r="O15" s="1504"/>
      <c r="P15" s="1504"/>
      <c r="Q15" s="1504"/>
      <c r="R15" s="1504"/>
      <c r="S15" s="1504"/>
      <c r="T15" s="1504"/>
      <c r="U15" s="1504"/>
      <c r="V15" s="1504"/>
      <c r="W15" s="1504"/>
      <c r="X15" s="1504"/>
      <c r="Y15" s="1504"/>
      <c r="Z15" s="1504"/>
      <c r="AA15" s="1504"/>
      <c r="AB15" s="1504"/>
      <c r="AC15" s="1506"/>
    </row>
    <row r="16" spans="1:29" ht="12">
      <c r="A16" s="112"/>
      <c r="B16" s="930"/>
      <c r="C16" s="940" t="str">
        <f aca="true" t="shared" si="8" ref="C16:C24">C4</f>
        <v>Celkové přírůstkové provozní příjmy</v>
      </c>
      <c r="D16" s="977"/>
      <c r="E16" s="115">
        <f>IF(E14&lt;='0 Úvod'!$G$18+'0 Úvod'!$J$18-1,'4 Příjmy'!E38,0)</f>
        <v>0</v>
      </c>
      <c r="F16" s="115">
        <f>IF(F14&lt;='0 Úvod'!$G$18+'0 Úvod'!$J$18-1,'4 Příjmy'!F38,0)</f>
        <v>0</v>
      </c>
      <c r="G16" s="115">
        <f>IF(G14&lt;='0 Úvod'!$G$18+'0 Úvod'!$J$18-1,'4 Příjmy'!G38,0)</f>
        <v>0</v>
      </c>
      <c r="H16" s="115">
        <f>IF(H14&lt;='0 Úvod'!$G$18+'0 Úvod'!$J$18-1,'4 Příjmy'!H38,0)</f>
        <v>0</v>
      </c>
      <c r="I16" s="115">
        <f>IF(I14&lt;='0 Úvod'!$G$18+'0 Úvod'!$J$18-1,'4 Příjmy'!I38,0)</f>
        <v>0</v>
      </c>
      <c r="J16" s="115">
        <f>IF(J14&lt;='0 Úvod'!$G$18+'0 Úvod'!$J$18-1,'4 Příjmy'!J38,0)</f>
        <v>0</v>
      </c>
      <c r="K16" s="115">
        <f>IF(K14&lt;='0 Úvod'!$G$18+'0 Úvod'!$J$18-1,'4 Příjmy'!K38,0)</f>
        <v>0</v>
      </c>
      <c r="L16" s="115">
        <f>IF(L14&lt;='0 Úvod'!$G$18+'0 Úvod'!$J$18-1,'4 Příjmy'!L38,0)</f>
        <v>0</v>
      </c>
      <c r="M16" s="115">
        <f>IF(M14&lt;='0 Úvod'!$G$18+'0 Úvod'!$J$18-1,'4 Příjmy'!M38,0)</f>
        <v>0</v>
      </c>
      <c r="N16" s="115">
        <f>IF(N14&lt;='0 Úvod'!$G$18+'0 Úvod'!$J$18-1,'4 Příjmy'!N38,0)</f>
        <v>0</v>
      </c>
      <c r="O16" s="115">
        <f>IF(O14&lt;='0 Úvod'!$G$18+'0 Úvod'!$J$18-1,'4 Příjmy'!O38,0)</f>
        <v>0</v>
      </c>
      <c r="P16" s="115">
        <f>IF(P14&lt;='0 Úvod'!$G$18+'0 Úvod'!$J$18-1,'4 Příjmy'!P38,0)</f>
        <v>0</v>
      </c>
      <c r="Q16" s="115">
        <f>IF(Q14&lt;='0 Úvod'!$G$18+'0 Úvod'!$J$18-1,'4 Příjmy'!Q38,0)</f>
        <v>0</v>
      </c>
      <c r="R16" s="115">
        <f>IF(R14&lt;='0 Úvod'!$G$18+'0 Úvod'!$J$18-1,'4 Příjmy'!R38,0)</f>
        <v>0</v>
      </c>
      <c r="S16" s="115">
        <f>IF(S14&lt;='0 Úvod'!$G$18+'0 Úvod'!$J$18-1,'4 Příjmy'!S38,0)</f>
        <v>0</v>
      </c>
      <c r="T16" s="115">
        <f>IF(T14&lt;='0 Úvod'!$G$18+'0 Úvod'!$J$18-1,'4 Příjmy'!T38,0)</f>
        <v>0</v>
      </c>
      <c r="U16" s="115">
        <f>IF(U14&lt;='0 Úvod'!$G$18+'0 Úvod'!$J$18-1,'4 Příjmy'!U38,0)</f>
        <v>0</v>
      </c>
      <c r="V16" s="115">
        <f>IF(V14&lt;='0 Úvod'!$G$18+'0 Úvod'!$J$18-1,'4 Příjmy'!V38,0)</f>
        <v>0</v>
      </c>
      <c r="W16" s="115">
        <f>IF(W14&lt;='0 Úvod'!$G$18+'0 Úvod'!$J$18-1,'4 Příjmy'!W38,0)</f>
        <v>0</v>
      </c>
      <c r="X16" s="115">
        <f>IF(X14&lt;='0 Úvod'!$G$18+'0 Úvod'!$J$18-1,'4 Příjmy'!X38,0)</f>
        <v>0</v>
      </c>
      <c r="Y16" s="115">
        <f>IF(Y14&lt;='0 Úvod'!$G$18+'0 Úvod'!$J$18-1,'4 Příjmy'!Y38,0)</f>
        <v>0</v>
      </c>
      <c r="Z16" s="115">
        <f>IF(Z14&lt;='0 Úvod'!$G$18+'0 Úvod'!$J$18-1,'4 Příjmy'!Z38,0)</f>
        <v>0</v>
      </c>
      <c r="AA16" s="115">
        <f>IF(AA14&lt;='0 Úvod'!$G$18+'0 Úvod'!$J$18-1,'4 Příjmy'!AA38,0)</f>
        <v>0</v>
      </c>
      <c r="AB16" s="115">
        <f>IF(AB14&lt;='0 Úvod'!$G$18+'0 Úvod'!$J$18-1,'4 Příjmy'!AB38,0)</f>
        <v>0</v>
      </c>
      <c r="AC16" s="1063">
        <f>IF(AC14&lt;='0 Úvod'!$G$18+'0 Úvod'!$J$18-1,'4 Příjmy'!AC38,0)</f>
        <v>0</v>
      </c>
    </row>
    <row r="17" spans="2:29" ht="12">
      <c r="B17" s="932"/>
      <c r="C17" s="941" t="str">
        <f t="shared" si="8"/>
        <v>Celkové výnosy</v>
      </c>
      <c r="D17" s="978"/>
      <c r="E17" s="114">
        <f>SUM(E16)</f>
        <v>0</v>
      </c>
      <c r="F17" s="114">
        <f aca="true" t="shared" si="9" ref="F17:AC17">SUM(F16)</f>
        <v>0</v>
      </c>
      <c r="G17" s="114">
        <f t="shared" si="9"/>
        <v>0</v>
      </c>
      <c r="H17" s="114">
        <f t="shared" si="9"/>
        <v>0</v>
      </c>
      <c r="I17" s="114">
        <f t="shared" si="9"/>
        <v>0</v>
      </c>
      <c r="J17" s="114">
        <f t="shared" si="9"/>
        <v>0</v>
      </c>
      <c r="K17" s="114">
        <f t="shared" si="9"/>
        <v>0</v>
      </c>
      <c r="L17" s="114">
        <f t="shared" si="9"/>
        <v>0</v>
      </c>
      <c r="M17" s="114">
        <f t="shared" si="9"/>
        <v>0</v>
      </c>
      <c r="N17" s="114">
        <f t="shared" si="9"/>
        <v>0</v>
      </c>
      <c r="O17" s="114">
        <f t="shared" si="9"/>
        <v>0</v>
      </c>
      <c r="P17" s="114">
        <f t="shared" si="9"/>
        <v>0</v>
      </c>
      <c r="Q17" s="114">
        <f t="shared" si="9"/>
        <v>0</v>
      </c>
      <c r="R17" s="114">
        <f t="shared" si="9"/>
        <v>0</v>
      </c>
      <c r="S17" s="114">
        <f t="shared" si="9"/>
        <v>0</v>
      </c>
      <c r="T17" s="114">
        <f t="shared" si="9"/>
        <v>0</v>
      </c>
      <c r="U17" s="114">
        <f t="shared" si="9"/>
        <v>0</v>
      </c>
      <c r="V17" s="114">
        <f t="shared" si="9"/>
        <v>0</v>
      </c>
      <c r="W17" s="114">
        <f t="shared" si="9"/>
        <v>0</v>
      </c>
      <c r="X17" s="114">
        <f t="shared" si="9"/>
        <v>0</v>
      </c>
      <c r="Y17" s="114">
        <f t="shared" si="9"/>
        <v>0</v>
      </c>
      <c r="Z17" s="114">
        <f t="shared" si="9"/>
        <v>0</v>
      </c>
      <c r="AA17" s="114">
        <f t="shared" si="9"/>
        <v>0</v>
      </c>
      <c r="AB17" s="114">
        <f t="shared" si="9"/>
        <v>0</v>
      </c>
      <c r="AC17" s="1062">
        <f t="shared" si="9"/>
        <v>0</v>
      </c>
    </row>
    <row r="18" spans="2:29" ht="12">
      <c r="B18" s="933"/>
      <c r="C18" s="942" t="str">
        <f t="shared" si="8"/>
        <v>Celkové přírůstkové provozní náklady</v>
      </c>
      <c r="D18" s="979"/>
      <c r="E18" s="901">
        <f>IF(E14&lt;='0 Úvod'!$G$18+'0 Úvod'!$J$18-1,'3 Náklady I'!E56,0)</f>
        <v>0</v>
      </c>
      <c r="F18" s="901">
        <f>IF(F14&lt;='0 Úvod'!$G$18+'0 Úvod'!$J$18-1,'3 Náklady I'!F56,0)</f>
        <v>0</v>
      </c>
      <c r="G18" s="901">
        <f>IF(G14&lt;='0 Úvod'!$G$18+'0 Úvod'!$J$18-1,'3 Náklady I'!G56,0)</f>
        <v>0</v>
      </c>
      <c r="H18" s="901">
        <f>IF(H14&lt;='0 Úvod'!$G$18+'0 Úvod'!$J$18-1,'3 Náklady I'!H56,0)</f>
        <v>0</v>
      </c>
      <c r="I18" s="901">
        <f>IF(I14&lt;='0 Úvod'!$G$18+'0 Úvod'!$J$18-1,'3 Náklady I'!I56,0)</f>
        <v>0</v>
      </c>
      <c r="J18" s="901">
        <f>IF(J14&lt;='0 Úvod'!$G$18+'0 Úvod'!$J$18-1,'3 Náklady I'!J56,0)</f>
        <v>0</v>
      </c>
      <c r="K18" s="901">
        <f>IF(K14&lt;='0 Úvod'!$G$18+'0 Úvod'!$J$18-1,'3 Náklady I'!K56,0)</f>
        <v>0</v>
      </c>
      <c r="L18" s="901">
        <f>IF(L14&lt;='0 Úvod'!$G$18+'0 Úvod'!$J$18-1,'3 Náklady I'!L56,0)</f>
        <v>0</v>
      </c>
      <c r="M18" s="901">
        <f>IF(M14&lt;='0 Úvod'!$G$18+'0 Úvod'!$J$18-1,'3 Náklady I'!M56,0)</f>
        <v>0</v>
      </c>
      <c r="N18" s="901">
        <f>IF(N14&lt;='0 Úvod'!$G$18+'0 Úvod'!$J$18-1,'3 Náklady I'!N56,0)</f>
        <v>0</v>
      </c>
      <c r="O18" s="901">
        <f>IF(O14&lt;='0 Úvod'!$G$18+'0 Úvod'!$J$18-1,'3 Náklady I'!O56,0)</f>
        <v>0</v>
      </c>
      <c r="P18" s="901">
        <f>IF(P14&lt;='0 Úvod'!$G$18+'0 Úvod'!$J$18-1,'3 Náklady I'!P56,0)</f>
        <v>0</v>
      </c>
      <c r="Q18" s="901">
        <f>IF(Q14&lt;='0 Úvod'!$G$18+'0 Úvod'!$J$18-1,'3 Náklady I'!Q56,0)</f>
        <v>0</v>
      </c>
      <c r="R18" s="901">
        <f>IF(R14&lt;='0 Úvod'!$G$18+'0 Úvod'!$J$18-1,'3 Náklady I'!R56,0)</f>
        <v>0</v>
      </c>
      <c r="S18" s="901">
        <f>IF(S14&lt;='0 Úvod'!$G$18+'0 Úvod'!$J$18-1,'3 Náklady I'!S56,0)</f>
        <v>0</v>
      </c>
      <c r="T18" s="901">
        <f>IF(T14&lt;='0 Úvod'!$G$18+'0 Úvod'!$J$18-1,'3 Náklady I'!T56,0)</f>
        <v>0</v>
      </c>
      <c r="U18" s="901">
        <f>IF(U14&lt;='0 Úvod'!$G$18+'0 Úvod'!$J$18-1,'3 Náklady I'!U56,0)</f>
        <v>0</v>
      </c>
      <c r="V18" s="901">
        <f>IF(V14&lt;='0 Úvod'!$G$18+'0 Úvod'!$J$18-1,'3 Náklady I'!V56,0)</f>
        <v>0</v>
      </c>
      <c r="W18" s="901">
        <f>IF(W14&lt;='0 Úvod'!$G$18+'0 Úvod'!$J$18-1,'3 Náklady I'!W56,0)</f>
        <v>0</v>
      </c>
      <c r="X18" s="901">
        <f>IF(X14&lt;='0 Úvod'!$G$18+'0 Úvod'!$J$18-1,'3 Náklady I'!X56,0)</f>
        <v>0</v>
      </c>
      <c r="Y18" s="901">
        <f>IF(Y14&lt;='0 Úvod'!$G$18+'0 Úvod'!$J$18-1,'3 Náklady I'!Y56,0)</f>
        <v>0</v>
      </c>
      <c r="Z18" s="901">
        <f>IF(Z14&lt;='0 Úvod'!$G$18+'0 Úvod'!$J$18-1,'3 Náklady I'!Z56,0)</f>
        <v>0</v>
      </c>
      <c r="AA18" s="901">
        <f>IF(AA14&lt;='0 Úvod'!$G$18+'0 Úvod'!$J$18-1,'3 Náklady I'!AA56,0)</f>
        <v>0</v>
      </c>
      <c r="AB18" s="901">
        <f>IF(AB14&lt;='0 Úvod'!$G$18+'0 Úvod'!$J$18-1,'3 Náklady I'!AB56,0)</f>
        <v>0</v>
      </c>
      <c r="AC18" s="1061">
        <f>IF(AC14&lt;='0 Úvod'!$G$18+'0 Úvod'!$J$18-1,'3 Náklady I'!AC56,0)</f>
        <v>0</v>
      </c>
    </row>
    <row r="19" spans="2:29" ht="12">
      <c r="B19" s="930"/>
      <c r="C19" s="940" t="str">
        <f t="shared" si="8"/>
        <v>Celkové invest. náklady bez rezervy</v>
      </c>
      <c r="D19" s="977"/>
      <c r="E19" s="115">
        <f>IF(E14&lt;='0 Úvod'!$G$18+'0 Úvod'!$J$18-1,'1 CIN'!G24,0)</f>
        <v>0</v>
      </c>
      <c r="F19" s="115">
        <f>IF(F14&lt;='0 Úvod'!$G$18+'0 Úvod'!$J$18-1,'1 CIN'!H24,0)</f>
        <v>0</v>
      </c>
      <c r="G19" s="115">
        <f>IF(G14&lt;='0 Úvod'!$G$18+'0 Úvod'!$J$18-1,'1 CIN'!I24,0)</f>
        <v>0</v>
      </c>
      <c r="H19" s="115">
        <f>IF(H14&lt;='0 Úvod'!$G$18+'0 Úvod'!$J$18-1,'1 CIN'!J24,0)</f>
        <v>0</v>
      </c>
      <c r="I19" s="115">
        <f>IF(I14&lt;='0 Úvod'!$G$18+'0 Úvod'!$J$18-1,'1 CIN'!K24,0)</f>
        <v>0</v>
      </c>
      <c r="J19" s="115">
        <f>IF(J14&lt;='0 Úvod'!$G$18+'0 Úvod'!$J$18-1,'1 CIN'!L24,0)</f>
        <v>0</v>
      </c>
      <c r="K19" s="115">
        <f>IF(K14&lt;='0 Úvod'!$G$18+'0 Úvod'!$J$18-1,'1 CIN'!M24,0)</f>
        <v>0</v>
      </c>
      <c r="L19" s="115">
        <f>IF(L14&lt;='0 Úvod'!$G$18+'0 Úvod'!$J$18-1,'1 CIN'!N24,0)</f>
        <v>0</v>
      </c>
      <c r="M19" s="115">
        <f>IF(M14&lt;='0 Úvod'!$G$18+'0 Úvod'!$J$18-1,'1 CIN'!O24,0)</f>
        <v>0</v>
      </c>
      <c r="N19" s="115">
        <f>IF(N14&lt;='0 Úvod'!$G$18+'0 Úvod'!$J$18-1,'1 CIN'!P24,0)</f>
        <v>0</v>
      </c>
      <c r="O19" s="115">
        <f>IF(O14&lt;='0 Úvod'!$G$18+'0 Úvod'!$J$18-1,'1 CIN'!Q24,0)</f>
        <v>0</v>
      </c>
      <c r="P19" s="115">
        <f>IF(P14&lt;='0 Úvod'!$G$18+'0 Úvod'!$J$18-1,'1 CIN'!R24,0)</f>
        <v>0</v>
      </c>
      <c r="Q19" s="115">
        <f>IF(Q14&lt;='0 Úvod'!$G$18+'0 Úvod'!$J$18-1,'1 CIN'!S24,0)</f>
        <v>0</v>
      </c>
      <c r="R19" s="115">
        <f>IF(R14&lt;='0 Úvod'!$G$18+'0 Úvod'!$J$18-1,'1 CIN'!T24,0)</f>
        <v>0</v>
      </c>
      <c r="S19" s="115">
        <f>IF(S14&lt;='0 Úvod'!$G$18+'0 Úvod'!$J$18-1,'1 CIN'!U24,0)</f>
        <v>0</v>
      </c>
      <c r="T19" s="115">
        <f>IF(T14&lt;='0 Úvod'!$G$18+'0 Úvod'!$J$18-1,'1 CIN'!V24,0)</f>
        <v>0</v>
      </c>
      <c r="U19" s="115">
        <f>IF(U14&lt;='0 Úvod'!$G$18+'0 Úvod'!$J$18-1,'1 CIN'!W24,0)</f>
        <v>0</v>
      </c>
      <c r="V19" s="115">
        <f>IF(V14&lt;='0 Úvod'!$G$18+'0 Úvod'!$J$18-1,'1 CIN'!X24,0)</f>
        <v>0</v>
      </c>
      <c r="W19" s="115">
        <f>IF(W14&lt;='0 Úvod'!$G$18+'0 Úvod'!$J$18-1,'1 CIN'!Y24,0)</f>
        <v>0</v>
      </c>
      <c r="X19" s="115">
        <f>IF(X14&lt;='0 Úvod'!$G$18+'0 Úvod'!$J$18-1,'1 CIN'!Z24,0)</f>
        <v>0</v>
      </c>
      <c r="Y19" s="115">
        <f>IF(Y14&lt;='0 Úvod'!$G$18+'0 Úvod'!$J$18-1,'1 CIN'!AA24,0)</f>
        <v>0</v>
      </c>
      <c r="Z19" s="115">
        <f>IF(Z14&lt;='0 Úvod'!$G$18+'0 Úvod'!$J$18-1,'1 CIN'!AB24,0)</f>
        <v>0</v>
      </c>
      <c r="AA19" s="115">
        <f>IF(AA14&lt;='0 Úvod'!$G$18+'0 Úvod'!$J$18-1,'1 CIN'!AC24,0)</f>
        <v>0</v>
      </c>
      <c r="AB19" s="115">
        <f>IF(AB14&lt;='0 Úvod'!$G$18+'0 Úvod'!$J$18-1,'1 CIN'!AD24,0)</f>
        <v>0</v>
      </c>
      <c r="AC19" s="1061">
        <f>IF(AC14&lt;='0 Úvod'!$G$18+'0 Úvod'!$J$18-1,'1 CIN'!AE24,0)</f>
        <v>0</v>
      </c>
    </row>
    <row r="20" spans="2:29" ht="12">
      <c r="B20" s="930"/>
      <c r="C20" s="940" t="str">
        <f t="shared" si="8"/>
        <v>Zůstatková hodnota</v>
      </c>
      <c r="D20" s="977"/>
      <c r="E20" s="115">
        <f>(-1)*'2 ZH'!E36</f>
        <v>0</v>
      </c>
      <c r="F20" s="115">
        <f>(-1)*'2 ZH'!F36</f>
        <v>0</v>
      </c>
      <c r="G20" s="115">
        <f>(-1)*'2 ZH'!G36</f>
        <v>0</v>
      </c>
      <c r="H20" s="115">
        <f>(-1)*'2 ZH'!H36</f>
        <v>0</v>
      </c>
      <c r="I20" s="115">
        <f>(-1)*'2 ZH'!I36</f>
        <v>0</v>
      </c>
      <c r="J20" s="115">
        <f>(-1)*'2 ZH'!J36</f>
        <v>0</v>
      </c>
      <c r="K20" s="115">
        <f>(-1)*'2 ZH'!K36</f>
        <v>0</v>
      </c>
      <c r="L20" s="115">
        <f>(-1)*'2 ZH'!L36</f>
        <v>0</v>
      </c>
      <c r="M20" s="115">
        <f>(-1)*'2 ZH'!M36</f>
        <v>0</v>
      </c>
      <c r="N20" s="115">
        <f>(-1)*'2 ZH'!N36</f>
        <v>0</v>
      </c>
      <c r="O20" s="115">
        <f>(-1)*'2 ZH'!O36</f>
        <v>0</v>
      </c>
      <c r="P20" s="115">
        <f>(-1)*'2 ZH'!P36</f>
        <v>0</v>
      </c>
      <c r="Q20" s="115">
        <f>(-1)*'2 ZH'!Q36</f>
        <v>0</v>
      </c>
      <c r="R20" s="115">
        <f>(-1)*'2 ZH'!R36</f>
        <v>0</v>
      </c>
      <c r="S20" s="115">
        <f>(-1)*'2 ZH'!S36</f>
        <v>0</v>
      </c>
      <c r="T20" s="115">
        <f>(-1)*'2 ZH'!T36</f>
        <v>0</v>
      </c>
      <c r="U20" s="115">
        <f>(-1)*'2 ZH'!U36</f>
        <v>0</v>
      </c>
      <c r="V20" s="115">
        <f>(-1)*'2 ZH'!V36</f>
        <v>0</v>
      </c>
      <c r="W20" s="115">
        <f>(-1)*'2 ZH'!W36</f>
        <v>0</v>
      </c>
      <c r="X20" s="115">
        <f>(-1)*'2 ZH'!X36</f>
        <v>0</v>
      </c>
      <c r="Y20" s="115">
        <f>(-1)*'2 ZH'!Y36</f>
        <v>0</v>
      </c>
      <c r="Z20" s="115">
        <f>(-1)*'2 ZH'!Z36</f>
        <v>0</v>
      </c>
      <c r="AA20" s="115">
        <f>(-1)*'2 ZH'!AA36</f>
        <v>0</v>
      </c>
      <c r="AB20" s="115">
        <f>(-1)*'2 ZH'!AB36</f>
        <v>0</v>
      </c>
      <c r="AC20" s="1061">
        <f>(-1)*'2 ZH'!AC36</f>
        <v>0</v>
      </c>
    </row>
    <row r="21" spans="2:29" ht="12">
      <c r="B21" s="934"/>
      <c r="C21" s="943" t="str">
        <f t="shared" si="8"/>
        <v>Celkové náklady</v>
      </c>
      <c r="D21" s="980"/>
      <c r="E21" s="902">
        <f>SUM(E18:E20)</f>
        <v>0</v>
      </c>
      <c r="F21" s="902">
        <f aca="true" t="shared" si="10" ref="F21:AC21">SUM(F18:F20)</f>
        <v>0</v>
      </c>
      <c r="G21" s="902">
        <f t="shared" si="10"/>
        <v>0</v>
      </c>
      <c r="H21" s="902">
        <f t="shared" si="10"/>
        <v>0</v>
      </c>
      <c r="I21" s="902">
        <f t="shared" si="10"/>
        <v>0</v>
      </c>
      <c r="J21" s="902">
        <f t="shared" si="10"/>
        <v>0</v>
      </c>
      <c r="K21" s="902">
        <f t="shared" si="10"/>
        <v>0</v>
      </c>
      <c r="L21" s="902">
        <f t="shared" si="10"/>
        <v>0</v>
      </c>
      <c r="M21" s="902">
        <f t="shared" si="10"/>
        <v>0</v>
      </c>
      <c r="N21" s="902">
        <f t="shared" si="10"/>
        <v>0</v>
      </c>
      <c r="O21" s="902">
        <f t="shared" si="10"/>
        <v>0</v>
      </c>
      <c r="P21" s="902">
        <f t="shared" si="10"/>
        <v>0</v>
      </c>
      <c r="Q21" s="902">
        <f t="shared" si="10"/>
        <v>0</v>
      </c>
      <c r="R21" s="902">
        <f t="shared" si="10"/>
        <v>0</v>
      </c>
      <c r="S21" s="902">
        <f t="shared" si="10"/>
        <v>0</v>
      </c>
      <c r="T21" s="902">
        <f t="shared" si="10"/>
        <v>0</v>
      </c>
      <c r="U21" s="902">
        <f t="shared" si="10"/>
        <v>0</v>
      </c>
      <c r="V21" s="902">
        <f t="shared" si="10"/>
        <v>0</v>
      </c>
      <c r="W21" s="902">
        <f t="shared" si="10"/>
        <v>0</v>
      </c>
      <c r="X21" s="902">
        <f t="shared" si="10"/>
        <v>0</v>
      </c>
      <c r="Y21" s="902">
        <f t="shared" si="10"/>
        <v>0</v>
      </c>
      <c r="Z21" s="902">
        <f t="shared" si="10"/>
        <v>0</v>
      </c>
      <c r="AA21" s="902">
        <f t="shared" si="10"/>
        <v>0</v>
      </c>
      <c r="AB21" s="902">
        <f t="shared" si="10"/>
        <v>0</v>
      </c>
      <c r="AC21" s="904">
        <f t="shared" si="10"/>
        <v>0</v>
      </c>
    </row>
    <row r="22" spans="2:29" ht="12">
      <c r="B22" s="932"/>
      <c r="C22" s="941" t="str">
        <f t="shared" si="8"/>
        <v>Cash Flow </v>
      </c>
      <c r="D22" s="945"/>
      <c r="E22" s="122">
        <f aca="true" t="shared" si="11" ref="E22:AC22">E17-E21</f>
        <v>0</v>
      </c>
      <c r="F22" s="122">
        <f t="shared" si="11"/>
        <v>0</v>
      </c>
      <c r="G22" s="122">
        <f t="shared" si="11"/>
        <v>0</v>
      </c>
      <c r="H22" s="122">
        <f t="shared" si="11"/>
        <v>0</v>
      </c>
      <c r="I22" s="122">
        <f t="shared" si="11"/>
        <v>0</v>
      </c>
      <c r="J22" s="122">
        <f t="shared" si="11"/>
        <v>0</v>
      </c>
      <c r="K22" s="122">
        <f t="shared" si="11"/>
        <v>0</v>
      </c>
      <c r="L22" s="122">
        <f t="shared" si="11"/>
        <v>0</v>
      </c>
      <c r="M22" s="122">
        <f t="shared" si="11"/>
        <v>0</v>
      </c>
      <c r="N22" s="122">
        <f t="shared" si="11"/>
        <v>0</v>
      </c>
      <c r="O22" s="122">
        <f t="shared" si="11"/>
        <v>0</v>
      </c>
      <c r="P22" s="122">
        <f t="shared" si="11"/>
        <v>0</v>
      </c>
      <c r="Q22" s="122">
        <f t="shared" si="11"/>
        <v>0</v>
      </c>
      <c r="R22" s="122">
        <f t="shared" si="11"/>
        <v>0</v>
      </c>
      <c r="S22" s="122">
        <f t="shared" si="11"/>
        <v>0</v>
      </c>
      <c r="T22" s="122">
        <f t="shared" si="11"/>
        <v>0</v>
      </c>
      <c r="U22" s="122">
        <f t="shared" si="11"/>
        <v>0</v>
      </c>
      <c r="V22" s="122">
        <f t="shared" si="11"/>
        <v>0</v>
      </c>
      <c r="W22" s="122">
        <f t="shared" si="11"/>
        <v>0</v>
      </c>
      <c r="X22" s="122">
        <f t="shared" si="11"/>
        <v>0</v>
      </c>
      <c r="Y22" s="122">
        <f t="shared" si="11"/>
        <v>0</v>
      </c>
      <c r="Z22" s="122">
        <f t="shared" si="11"/>
        <v>0</v>
      </c>
      <c r="AA22" s="122">
        <f t="shared" si="11"/>
        <v>0</v>
      </c>
      <c r="AB22" s="122">
        <f t="shared" si="11"/>
        <v>0</v>
      </c>
      <c r="AC22" s="903">
        <f t="shared" si="11"/>
        <v>0</v>
      </c>
    </row>
    <row r="23" spans="2:29" ht="12">
      <c r="B23" s="930"/>
      <c r="C23" s="931" t="str">
        <f t="shared" si="8"/>
        <v>Diskontní sazba</v>
      </c>
      <c r="D23" s="946">
        <f>D11</f>
        <v>0.05</v>
      </c>
      <c r="E23" s="123">
        <f>AC11*1/(1+$D$11)</f>
        <v>0.2953027716977619</v>
      </c>
      <c r="F23" s="123">
        <f>E23*1/(1+$D$11)</f>
        <v>0.2812407349502494</v>
      </c>
      <c r="G23" s="123">
        <f aca="true" t="shared" si="12" ref="G23:AC23">F23*1/(1+$D$11)</f>
        <v>0.26784831900023753</v>
      </c>
      <c r="H23" s="123">
        <f t="shared" si="12"/>
        <v>0.25509363714308336</v>
      </c>
      <c r="I23" s="123">
        <f t="shared" si="12"/>
        <v>0.2429463210886508</v>
      </c>
      <c r="J23" s="123">
        <f t="shared" si="12"/>
        <v>0.2313774486558579</v>
      </c>
      <c r="K23" s="123">
        <f t="shared" si="12"/>
        <v>0.22035947491034086</v>
      </c>
      <c r="L23" s="123">
        <f t="shared" si="12"/>
        <v>0.209866166581277</v>
      </c>
      <c r="M23" s="123">
        <f t="shared" si="12"/>
        <v>0.19987253960121618</v>
      </c>
      <c r="N23" s="123">
        <f t="shared" si="12"/>
        <v>0.19035479962020588</v>
      </c>
      <c r="O23" s="123">
        <f t="shared" si="12"/>
        <v>0.18129028535257702</v>
      </c>
      <c r="P23" s="123">
        <f t="shared" si="12"/>
        <v>0.17265741462150191</v>
      </c>
      <c r="Q23" s="123">
        <f t="shared" si="12"/>
        <v>0.16443563297285896</v>
      </c>
      <c r="R23" s="123">
        <f t="shared" si="12"/>
        <v>0.15660536473605616</v>
      </c>
      <c r="S23" s="123">
        <f t="shared" si="12"/>
        <v>0.14914796641529157</v>
      </c>
      <c r="T23" s="123">
        <f t="shared" si="12"/>
        <v>0.14204568230027767</v>
      </c>
      <c r="U23" s="123">
        <f t="shared" si="12"/>
        <v>0.13528160219074065</v>
      </c>
      <c r="V23" s="123">
        <f t="shared" si="12"/>
        <v>0.1288396211340387</v>
      </c>
      <c r="W23" s="123">
        <f t="shared" si="12"/>
        <v>0.12270440108003686</v>
      </c>
      <c r="X23" s="123">
        <f t="shared" si="12"/>
        <v>0.11686133436193986</v>
      </c>
      <c r="Y23" s="123">
        <f t="shared" si="12"/>
        <v>0.1112965089161332</v>
      </c>
      <c r="Z23" s="123">
        <f t="shared" si="12"/>
        <v>0.10599667515822209</v>
      </c>
      <c r="AA23" s="123">
        <f t="shared" si="12"/>
        <v>0.10094921443640198</v>
      </c>
      <c r="AB23" s="123">
        <f t="shared" si="12"/>
        <v>0.0961421089870495</v>
      </c>
      <c r="AC23" s="908">
        <f t="shared" si="12"/>
        <v>0.09156391332099952</v>
      </c>
    </row>
    <row r="24" spans="1:29" ht="12.75" thickBot="1">
      <c r="A24" s="112"/>
      <c r="B24" s="944"/>
      <c r="C24" s="937" t="str">
        <f t="shared" si="8"/>
        <v>Diskontované cash flow</v>
      </c>
      <c r="D24" s="947"/>
      <c r="E24" s="909">
        <f aca="true" t="shared" si="13" ref="E24:AC24">E22*E23</f>
        <v>0</v>
      </c>
      <c r="F24" s="909">
        <f t="shared" si="13"/>
        <v>0</v>
      </c>
      <c r="G24" s="909">
        <f t="shared" si="13"/>
        <v>0</v>
      </c>
      <c r="H24" s="909">
        <f t="shared" si="13"/>
        <v>0</v>
      </c>
      <c r="I24" s="909">
        <f t="shared" si="13"/>
        <v>0</v>
      </c>
      <c r="J24" s="909">
        <f t="shared" si="13"/>
        <v>0</v>
      </c>
      <c r="K24" s="909">
        <f t="shared" si="13"/>
        <v>0</v>
      </c>
      <c r="L24" s="909">
        <f t="shared" si="13"/>
        <v>0</v>
      </c>
      <c r="M24" s="909">
        <f t="shared" si="13"/>
        <v>0</v>
      </c>
      <c r="N24" s="909">
        <f t="shared" si="13"/>
        <v>0</v>
      </c>
      <c r="O24" s="909">
        <f t="shared" si="13"/>
        <v>0</v>
      </c>
      <c r="P24" s="909">
        <f t="shared" si="13"/>
        <v>0</v>
      </c>
      <c r="Q24" s="909">
        <f t="shared" si="13"/>
        <v>0</v>
      </c>
      <c r="R24" s="909">
        <f t="shared" si="13"/>
        <v>0</v>
      </c>
      <c r="S24" s="909">
        <f t="shared" si="13"/>
        <v>0</v>
      </c>
      <c r="T24" s="909">
        <f t="shared" si="13"/>
        <v>0</v>
      </c>
      <c r="U24" s="909">
        <f t="shared" si="13"/>
        <v>0</v>
      </c>
      <c r="V24" s="909">
        <f t="shared" si="13"/>
        <v>0</v>
      </c>
      <c r="W24" s="909">
        <f t="shared" si="13"/>
        <v>0</v>
      </c>
      <c r="X24" s="909">
        <f t="shared" si="13"/>
        <v>0</v>
      </c>
      <c r="Y24" s="909">
        <f t="shared" si="13"/>
        <v>0</v>
      </c>
      <c r="Z24" s="909">
        <f t="shared" si="13"/>
        <v>0</v>
      </c>
      <c r="AA24" s="909">
        <f t="shared" si="13"/>
        <v>0</v>
      </c>
      <c r="AB24" s="909">
        <f t="shared" si="13"/>
        <v>0</v>
      </c>
      <c r="AC24" s="910">
        <f t="shared" si="13"/>
        <v>0</v>
      </c>
    </row>
    <row r="25" ht="12" thickBot="1"/>
    <row r="26" spans="2:18" s="124" customFormat="1" ht="12">
      <c r="B26" s="1507" t="s">
        <v>338</v>
      </c>
      <c r="C26" s="1508"/>
      <c r="D26" s="1509"/>
      <c r="E26" s="914" t="e">
        <f>ROUND(IRR((E10:AC10,E22:AC22),-0.1),4)</f>
        <v>#NUM!</v>
      </c>
      <c r="F26" s="125"/>
      <c r="G26" s="125"/>
      <c r="H26" s="125"/>
      <c r="I26" s="125"/>
      <c r="J26" s="125"/>
      <c r="K26" s="125"/>
      <c r="L26" s="125"/>
      <c r="M26" s="125"/>
      <c r="N26" s="125"/>
      <c r="O26" s="125"/>
      <c r="P26" s="125"/>
      <c r="Q26" s="126"/>
      <c r="R26" s="126"/>
    </row>
    <row r="27" spans="2:18" s="124" customFormat="1" ht="12.75" thickBot="1">
      <c r="B27" s="1510" t="s">
        <v>339</v>
      </c>
      <c r="C27" s="1511"/>
      <c r="D27" s="1512"/>
      <c r="E27" s="915">
        <f>E10+NPV('0 Úvod'!D16,(F10:AC10,E22:AC22))</f>
        <v>0</v>
      </c>
      <c r="F27" s="127"/>
      <c r="G27" s="127"/>
      <c r="H27" s="127"/>
      <c r="I27" s="127"/>
      <c r="J27" s="127"/>
      <c r="K27" s="127"/>
      <c r="L27" s="127"/>
      <c r="M27" s="127"/>
      <c r="N27" s="127"/>
      <c r="O27" s="127"/>
      <c r="P27" s="127"/>
      <c r="Q27" s="128"/>
      <c r="R27" s="128"/>
    </row>
    <row r="28" spans="2:10" ht="12.75" thickBot="1">
      <c r="B28" s="1500" t="s">
        <v>340</v>
      </c>
      <c r="C28" s="1501"/>
      <c r="D28" s="1502"/>
      <c r="E28" s="913">
        <f>E27/'0 Úvod'!N16</f>
        <v>0</v>
      </c>
      <c r="J28" s="111"/>
    </row>
    <row r="29" ht="11.25">
      <c r="D29" s="129"/>
    </row>
    <row r="30" ht="12" thickBot="1">
      <c r="D30" s="130"/>
    </row>
    <row r="31" spans="2:16" ht="11.25">
      <c r="B31" s="1265" t="str">
        <f>IF('0 Úvod'!$M$3="English",Slovnik!D328,Slovnik!C328)</f>
        <v>Komentáře</v>
      </c>
      <c r="C31" s="1266"/>
      <c r="D31" s="1266"/>
      <c r="E31" s="1266"/>
      <c r="F31" s="1266"/>
      <c r="G31" s="1266"/>
      <c r="H31" s="1266"/>
      <c r="I31" s="1266"/>
      <c r="J31" s="1266"/>
      <c r="K31" s="1266"/>
      <c r="L31" s="1266"/>
      <c r="M31" s="1266"/>
      <c r="N31" s="1266"/>
      <c r="O31" s="1266"/>
      <c r="P31" s="1267"/>
    </row>
    <row r="32" spans="2:16" ht="12" thickBot="1">
      <c r="B32" s="1268"/>
      <c r="C32" s="1269"/>
      <c r="D32" s="1269"/>
      <c r="E32" s="1269"/>
      <c r="F32" s="1269"/>
      <c r="G32" s="1269"/>
      <c r="H32" s="1269"/>
      <c r="I32" s="1269"/>
      <c r="J32" s="1269"/>
      <c r="K32" s="1269"/>
      <c r="L32" s="1269"/>
      <c r="M32" s="1269"/>
      <c r="N32" s="1269"/>
      <c r="O32" s="1269"/>
      <c r="P32" s="1270"/>
    </row>
    <row r="33" spans="2:16" ht="12.75">
      <c r="B33" s="176"/>
      <c r="C33" s="177"/>
      <c r="D33" s="178"/>
      <c r="E33" s="178"/>
      <c r="F33" s="178"/>
      <c r="G33" s="179"/>
      <c r="H33" s="178"/>
      <c r="I33" s="178"/>
      <c r="J33" s="178"/>
      <c r="K33" s="178"/>
      <c r="L33" s="178"/>
      <c r="M33" s="178"/>
      <c r="N33" s="178"/>
      <c r="O33" s="178"/>
      <c r="P33" s="180"/>
    </row>
    <row r="34" spans="2:16" ht="13.5" thickBot="1">
      <c r="B34" s="1022"/>
      <c r="C34" s="1023"/>
      <c r="D34" s="182"/>
      <c r="E34" s="182"/>
      <c r="F34" s="182"/>
      <c r="G34" s="183"/>
      <c r="H34" s="182"/>
      <c r="I34" s="182"/>
      <c r="J34" s="182"/>
      <c r="K34" s="182"/>
      <c r="L34" s="182"/>
      <c r="M34" s="182"/>
      <c r="N34" s="182"/>
      <c r="O34" s="182"/>
      <c r="P34" s="184"/>
    </row>
    <row r="37" ht="11.25" hidden="1"/>
    <row r="38" spans="5:13" ht="11.25" hidden="1">
      <c r="E38" s="113">
        <v>-834747.1098966486</v>
      </c>
      <c r="F38" s="113">
        <v>-794997.2475206176</v>
      </c>
      <c r="G38" s="113">
        <v>-365291.53745252395</v>
      </c>
      <c r="H38" s="113">
        <v>-32532775.240488514</v>
      </c>
      <c r="I38" s="113">
        <v>-686748.5131373437</v>
      </c>
      <c r="J38" s="113">
        <v>-654046.2029879463</v>
      </c>
      <c r="K38" s="113">
        <v>-622901.1457028061</v>
      </c>
      <c r="L38" s="113">
        <v>-76349.31140226858</v>
      </c>
      <c r="M38" s="113">
        <v>180376131.53067324</v>
      </c>
    </row>
    <row r="39" spans="5:38" ht="11.25" hidden="1">
      <c r="E39" s="113">
        <v>-68040834.6026</v>
      </c>
      <c r="F39" s="113">
        <v>-327847197.2426124</v>
      </c>
      <c r="G39" s="113">
        <v>-265984366.1721534</v>
      </c>
      <c r="H39" s="113">
        <v>-341332955.3765788</v>
      </c>
      <c r="I39" s="113">
        <v>-181601915.51939335</v>
      </c>
      <c r="J39" s="113">
        <v>-62364355.77444935</v>
      </c>
      <c r="K39" s="113">
        <v>-173984949.42441145</v>
      </c>
      <c r="L39" s="113">
        <v>-108953920.31178112</v>
      </c>
      <c r="M39" s="113">
        <v>-1913255.6666145907</v>
      </c>
      <c r="N39" s="113">
        <v>-1822148.2539186578</v>
      </c>
      <c r="O39" s="113">
        <v>-1735379.2894463409</v>
      </c>
      <c r="P39" s="113">
        <v>-1652742.1804250863</v>
      </c>
      <c r="Q39" s="113">
        <v>-759414.8709105552</v>
      </c>
      <c r="R39" s="113">
        <v>-1499085.877936586</v>
      </c>
      <c r="S39" s="113">
        <v>-1427700.8361300817</v>
      </c>
      <c r="T39" s="113">
        <v>-1359715.0820286493</v>
      </c>
      <c r="U39" s="113">
        <v>-1294966.7447891897</v>
      </c>
      <c r="V39" s="113">
        <v>-1748829.8277849788</v>
      </c>
      <c r="W39" s="113">
        <v>-1174573.0111466574</v>
      </c>
      <c r="X39" s="113">
        <v>-1118640.9629968165</v>
      </c>
      <c r="Y39" s="113">
        <v>-1065372.3457112538</v>
      </c>
      <c r="Z39" s="113">
        <v>-1014640.329248813</v>
      </c>
      <c r="AA39" s="113">
        <v>-466214.8541879346</v>
      </c>
      <c r="AB39" s="113">
        <v>-920308.6886610549</v>
      </c>
      <c r="AC39" s="113">
        <v>-876484.465391481</v>
      </c>
      <c r="AD39" s="113">
        <v>-1359715.0820286493</v>
      </c>
      <c r="AE39" s="113">
        <v>-1294966.7447891897</v>
      </c>
      <c r="AF39" s="113">
        <v>-595021.4225636869</v>
      </c>
      <c r="AG39" s="113">
        <v>-52992462.78338993</v>
      </c>
      <c r="AH39" s="113">
        <v>-1118640.9629968165</v>
      </c>
      <c r="AI39" s="113">
        <v>-1065372.3457112538</v>
      </c>
      <c r="AJ39" s="113">
        <v>-1014640.329248813</v>
      </c>
      <c r="AK39" s="113">
        <v>-124364.98310131294</v>
      </c>
      <c r="AL39" s="113">
        <v>293813711.44921476</v>
      </c>
    </row>
    <row r="40" spans="19:29" ht="11.25" hidden="1">
      <c r="S40" s="115"/>
      <c r="T40" s="115"/>
      <c r="U40" s="115"/>
      <c r="V40" s="115"/>
      <c r="W40" s="115"/>
      <c r="X40" s="115"/>
      <c r="Y40" s="115"/>
      <c r="Z40" s="115"/>
      <c r="AA40" s="115"/>
      <c r="AB40" s="115"/>
      <c r="AC40" s="1221"/>
    </row>
    <row r="41" spans="19:29" ht="11.25" hidden="1">
      <c r="S41" s="115"/>
      <c r="T41" s="115"/>
      <c r="U41" s="115"/>
      <c r="V41" s="115"/>
      <c r="W41" s="115"/>
      <c r="X41" s="115"/>
      <c r="Y41" s="115"/>
      <c r="Z41" s="115"/>
      <c r="AA41" s="115"/>
      <c r="AB41" s="115"/>
      <c r="AC41" s="1222"/>
    </row>
    <row r="42" spans="4:29" ht="11.25" hidden="1">
      <c r="D42" s="113">
        <v>2008</v>
      </c>
      <c r="E42" s="118">
        <v>-68040834.6026</v>
      </c>
      <c r="F42" s="118">
        <f>E42</f>
        <v>-68040834.6026</v>
      </c>
      <c r="S42" s="115"/>
      <c r="T42" s="115"/>
      <c r="U42" s="115"/>
      <c r="V42" s="115"/>
      <c r="W42" s="115"/>
      <c r="X42" s="115"/>
      <c r="Y42" s="115"/>
      <c r="Z42" s="115"/>
      <c r="AA42" s="115"/>
      <c r="AB42" s="115"/>
      <c r="AC42" s="1222"/>
    </row>
    <row r="43" spans="4:29" ht="11.25" hidden="1">
      <c r="D43" s="113">
        <v>2009</v>
      </c>
      <c r="E43" s="118">
        <v>-327847197.2426124</v>
      </c>
      <c r="F43" s="118">
        <f>F42+E43</f>
        <v>-395888031.8452124</v>
      </c>
      <c r="S43" s="114"/>
      <c r="T43" s="114"/>
      <c r="U43" s="114"/>
      <c r="V43" s="114"/>
      <c r="W43" s="114"/>
      <c r="X43" s="114"/>
      <c r="Y43" s="114"/>
      <c r="Z43" s="114"/>
      <c r="AA43" s="114"/>
      <c r="AB43" s="114"/>
      <c r="AC43" s="1222"/>
    </row>
    <row r="44" spans="4:6" ht="11.25" hidden="1">
      <c r="D44" s="113">
        <v>2010</v>
      </c>
      <c r="E44" s="118">
        <v>-265984366.1721534</v>
      </c>
      <c r="F44" s="118">
        <f aca="true" t="shared" si="14" ref="F44:F75">F43+E44</f>
        <v>-661872398.0173658</v>
      </c>
    </row>
    <row r="45" spans="4:9" ht="11.25" hidden="1">
      <c r="D45" s="113">
        <v>2011</v>
      </c>
      <c r="E45" s="118">
        <v>-341332955.3765788</v>
      </c>
      <c r="F45" s="118">
        <f t="shared" si="14"/>
        <v>-1003205353.3939446</v>
      </c>
      <c r="G45" s="118"/>
      <c r="H45" s="118"/>
      <c r="I45" s="118"/>
    </row>
    <row r="46" spans="4:9" ht="11.25" hidden="1">
      <c r="D46" s="113">
        <v>2012</v>
      </c>
      <c r="E46" s="118">
        <v>-181601915.51939335</v>
      </c>
      <c r="F46" s="118">
        <f t="shared" si="14"/>
        <v>-1184807268.913338</v>
      </c>
      <c r="G46" s="118"/>
      <c r="H46" s="118"/>
      <c r="I46" s="118"/>
    </row>
    <row r="47" spans="4:9" ht="11.25" hidden="1">
      <c r="D47" s="113">
        <v>2013</v>
      </c>
      <c r="E47" s="118">
        <v>-62364355.77444935</v>
      </c>
      <c r="F47" s="118">
        <f t="shared" si="14"/>
        <v>-1247171624.6877873</v>
      </c>
      <c r="G47" s="118"/>
      <c r="H47" s="118"/>
      <c r="I47" s="118"/>
    </row>
    <row r="48" spans="4:9" ht="11.25" hidden="1">
      <c r="D48" s="113">
        <v>2014</v>
      </c>
      <c r="E48" s="118">
        <v>-173984949.42441145</v>
      </c>
      <c r="F48" s="118">
        <f t="shared" si="14"/>
        <v>-1421156574.1121988</v>
      </c>
      <c r="G48" s="118"/>
      <c r="H48" s="118"/>
      <c r="I48" s="118"/>
    </row>
    <row r="49" spans="4:9" ht="11.25" hidden="1">
      <c r="D49" s="113">
        <v>2015</v>
      </c>
      <c r="E49" s="118">
        <v>-108953920.31178112</v>
      </c>
      <c r="F49" s="118">
        <f t="shared" si="14"/>
        <v>-1530110494.42398</v>
      </c>
      <c r="G49" s="118"/>
      <c r="H49" s="118"/>
      <c r="I49" s="118"/>
    </row>
    <row r="50" spans="4:9" ht="11.25" hidden="1">
      <c r="D50" s="113">
        <v>2016</v>
      </c>
      <c r="E50" s="118">
        <v>-1913255.6666145907</v>
      </c>
      <c r="F50" s="118">
        <f t="shared" si="14"/>
        <v>-1532023750.0905945</v>
      </c>
      <c r="G50" s="118"/>
      <c r="H50" s="118"/>
      <c r="I50" s="118"/>
    </row>
    <row r="51" spans="4:9" ht="11.25" hidden="1">
      <c r="D51" s="113">
        <v>2017</v>
      </c>
      <c r="E51" s="118">
        <v>-1822148.2539186578</v>
      </c>
      <c r="F51" s="118">
        <f t="shared" si="14"/>
        <v>-1533845898.3445132</v>
      </c>
      <c r="G51" s="118"/>
      <c r="H51" s="118"/>
      <c r="I51" s="118"/>
    </row>
    <row r="52" spans="4:9" ht="11.25" hidden="1">
      <c r="D52" s="113">
        <v>2018</v>
      </c>
      <c r="E52" s="118">
        <v>-1735379.2894463409</v>
      </c>
      <c r="F52" s="118">
        <f t="shared" si="14"/>
        <v>-1535581277.6339595</v>
      </c>
      <c r="G52" s="118"/>
      <c r="H52" s="118"/>
      <c r="I52" s="118"/>
    </row>
    <row r="53" spans="4:9" ht="11.25" hidden="1">
      <c r="D53" s="113">
        <v>2019</v>
      </c>
      <c r="E53" s="118">
        <v>-1652742.1804250863</v>
      </c>
      <c r="F53" s="118">
        <f t="shared" si="14"/>
        <v>-1537234019.8143847</v>
      </c>
      <c r="G53" s="118"/>
      <c r="H53" s="118"/>
      <c r="I53" s="118"/>
    </row>
    <row r="54" spans="4:9" ht="11.25" hidden="1">
      <c r="D54" s="113">
        <v>2020</v>
      </c>
      <c r="E54" s="118">
        <v>-759414.8709105552</v>
      </c>
      <c r="F54" s="118">
        <f t="shared" si="14"/>
        <v>-1537993434.6852953</v>
      </c>
      <c r="G54" s="118"/>
      <c r="H54" s="118"/>
      <c r="I54" s="118"/>
    </row>
    <row r="55" spans="4:9" ht="11.25" hidden="1">
      <c r="D55" s="113">
        <v>2021</v>
      </c>
      <c r="E55" s="118">
        <v>-1499085.877936586</v>
      </c>
      <c r="F55" s="118">
        <f t="shared" si="14"/>
        <v>-1539492520.563232</v>
      </c>
      <c r="G55" s="118"/>
      <c r="H55" s="118"/>
      <c r="I55" s="118"/>
    </row>
    <row r="56" spans="4:9" ht="11.25" hidden="1">
      <c r="D56" s="113">
        <v>2022</v>
      </c>
      <c r="E56" s="118">
        <v>-1427700.8361300817</v>
      </c>
      <c r="F56" s="118">
        <f t="shared" si="14"/>
        <v>-1540920221.399362</v>
      </c>
      <c r="G56" s="118"/>
      <c r="H56" s="118"/>
      <c r="I56" s="118"/>
    </row>
    <row r="57" spans="4:9" ht="11.25" hidden="1">
      <c r="D57" s="113">
        <v>2023</v>
      </c>
      <c r="E57" s="118">
        <v>-1359715.0820286493</v>
      </c>
      <c r="F57" s="118">
        <f t="shared" si="14"/>
        <v>-1542279936.4813907</v>
      </c>
      <c r="G57" s="118"/>
      <c r="H57" s="118"/>
      <c r="I57" s="118"/>
    </row>
    <row r="58" spans="4:9" ht="11.25" hidden="1">
      <c r="D58" s="113">
        <v>2024</v>
      </c>
      <c r="E58" s="118">
        <v>-1294966.7447891897</v>
      </c>
      <c r="F58" s="118">
        <f t="shared" si="14"/>
        <v>-1543574903.2261798</v>
      </c>
      <c r="G58" s="118"/>
      <c r="H58" s="118"/>
      <c r="I58" s="118"/>
    </row>
    <row r="59" spans="4:9" ht="11.25" hidden="1">
      <c r="D59" s="113">
        <v>2025</v>
      </c>
      <c r="E59" s="118">
        <v>-1748829.8277849788</v>
      </c>
      <c r="F59" s="118">
        <f t="shared" si="14"/>
        <v>-1545323733.0539649</v>
      </c>
      <c r="G59" s="115"/>
      <c r="H59" s="114"/>
      <c r="I59" s="118"/>
    </row>
    <row r="60" spans="4:9" ht="11.25" hidden="1">
      <c r="D60" s="113">
        <v>2026</v>
      </c>
      <c r="E60" s="118">
        <v>-1174573.0111466574</v>
      </c>
      <c r="F60" s="118">
        <f t="shared" si="14"/>
        <v>-1546498306.0651114</v>
      </c>
      <c r="G60" s="115"/>
      <c r="H60" s="114"/>
      <c r="I60" s="118"/>
    </row>
    <row r="61" spans="4:9" ht="11.25" hidden="1">
      <c r="D61" s="113">
        <v>2027</v>
      </c>
      <c r="E61" s="118">
        <v>-1118640.9629968165</v>
      </c>
      <c r="F61" s="118">
        <f t="shared" si="14"/>
        <v>-1547616947.0281081</v>
      </c>
      <c r="G61" s="115"/>
      <c r="H61" s="114"/>
      <c r="I61" s="118"/>
    </row>
    <row r="62" spans="4:9" ht="11.25" hidden="1">
      <c r="D62" s="113">
        <v>2028</v>
      </c>
      <c r="E62" s="118">
        <v>-1065372.3457112538</v>
      </c>
      <c r="F62" s="118">
        <f t="shared" si="14"/>
        <v>-1548682319.3738194</v>
      </c>
      <c r="G62" s="115"/>
      <c r="H62" s="114"/>
      <c r="I62" s="118"/>
    </row>
    <row r="63" spans="4:9" ht="11.25" hidden="1">
      <c r="D63" s="113">
        <v>2029</v>
      </c>
      <c r="E63" s="118">
        <v>-1014640.329248813</v>
      </c>
      <c r="F63" s="118">
        <f t="shared" si="14"/>
        <v>-1549696959.7030683</v>
      </c>
      <c r="G63" s="115"/>
      <c r="H63" s="114"/>
      <c r="I63" s="118"/>
    </row>
    <row r="64" spans="4:9" ht="11.25" hidden="1">
      <c r="D64" s="113">
        <v>2030</v>
      </c>
      <c r="E64" s="118">
        <v>-466214.8541879346</v>
      </c>
      <c r="F64" s="118">
        <f t="shared" si="14"/>
        <v>-1550163174.5572562</v>
      </c>
      <c r="G64" s="115"/>
      <c r="H64" s="114"/>
      <c r="I64" s="118"/>
    </row>
    <row r="65" spans="4:9" ht="11.25" hidden="1">
      <c r="D65" s="113">
        <v>2031</v>
      </c>
      <c r="E65" s="118">
        <v>-920308.6886610549</v>
      </c>
      <c r="F65" s="118">
        <f t="shared" si="14"/>
        <v>-1551083483.2459173</v>
      </c>
      <c r="G65" s="115"/>
      <c r="H65" s="114"/>
      <c r="I65" s="118"/>
    </row>
    <row r="66" spans="4:9" ht="11.25" hidden="1">
      <c r="D66" s="113">
        <v>2032</v>
      </c>
      <c r="E66" s="118">
        <v>-876484.465391481</v>
      </c>
      <c r="F66" s="118">
        <f t="shared" si="14"/>
        <v>-1551959967.7113087</v>
      </c>
      <c r="G66" s="115"/>
      <c r="H66" s="114"/>
      <c r="I66" s="118"/>
    </row>
    <row r="67" spans="4:9" ht="11.25" hidden="1">
      <c r="D67" s="113">
        <v>2033</v>
      </c>
      <c r="E67" s="118">
        <v>-834747.1098966486</v>
      </c>
      <c r="F67" s="118">
        <f t="shared" si="14"/>
        <v>-1552794714.8212054</v>
      </c>
      <c r="G67" s="115"/>
      <c r="H67" s="114"/>
      <c r="I67" s="118"/>
    </row>
    <row r="68" spans="4:9" ht="11.25" hidden="1">
      <c r="D68" s="113">
        <v>2034</v>
      </c>
      <c r="E68" s="118">
        <v>-794997.2475206176</v>
      </c>
      <c r="F68" s="118">
        <f t="shared" si="14"/>
        <v>-1553589712.068726</v>
      </c>
      <c r="G68" s="115"/>
      <c r="H68" s="114"/>
      <c r="I68" s="118"/>
    </row>
    <row r="69" spans="4:9" ht="11.25" hidden="1">
      <c r="D69" s="113">
        <v>2035</v>
      </c>
      <c r="E69" s="118">
        <v>-365291.53745252395</v>
      </c>
      <c r="F69" s="118">
        <f t="shared" si="14"/>
        <v>-1553955003.6061785</v>
      </c>
      <c r="G69" s="115"/>
      <c r="H69" s="114"/>
      <c r="I69" s="118"/>
    </row>
    <row r="70" spans="4:9" ht="11.25" hidden="1">
      <c r="D70" s="113">
        <v>2036</v>
      </c>
      <c r="E70" s="118">
        <v>-32532775.240488514</v>
      </c>
      <c r="F70" s="118">
        <f t="shared" si="14"/>
        <v>-1586487778.846667</v>
      </c>
      <c r="G70" s="115"/>
      <c r="H70" s="114"/>
      <c r="I70" s="118"/>
    </row>
    <row r="71" spans="4:9" ht="11.25" hidden="1">
      <c r="D71" s="113">
        <v>2037</v>
      </c>
      <c r="E71" s="118">
        <v>-686748.5131373437</v>
      </c>
      <c r="F71" s="118">
        <f t="shared" si="14"/>
        <v>-1587174527.3598044</v>
      </c>
      <c r="G71" s="115"/>
      <c r="H71" s="114"/>
      <c r="I71" s="118"/>
    </row>
    <row r="72" spans="4:9" ht="11.25" hidden="1">
      <c r="D72" s="113">
        <v>2038</v>
      </c>
      <c r="E72" s="118">
        <v>-654046.2029879463</v>
      </c>
      <c r="F72" s="118">
        <f t="shared" si="14"/>
        <v>-1587828573.5627923</v>
      </c>
      <c r="G72" s="115"/>
      <c r="H72" s="114"/>
      <c r="I72" s="118"/>
    </row>
    <row r="73" spans="4:9" ht="11.25" hidden="1">
      <c r="D73" s="113">
        <v>2039</v>
      </c>
      <c r="E73" s="118">
        <v>-622901.1457028061</v>
      </c>
      <c r="F73" s="118">
        <f t="shared" si="14"/>
        <v>-1588451474.7084951</v>
      </c>
      <c r="G73" s="115"/>
      <c r="H73" s="114"/>
      <c r="I73" s="118"/>
    </row>
    <row r="74" spans="4:9" ht="11.25" hidden="1">
      <c r="D74" s="113">
        <v>2040</v>
      </c>
      <c r="E74" s="118">
        <v>-76349.31140226858</v>
      </c>
      <c r="F74" s="118">
        <f t="shared" si="14"/>
        <v>-1588527824.0198975</v>
      </c>
      <c r="G74" s="115"/>
      <c r="H74" s="114"/>
      <c r="I74" s="118"/>
    </row>
    <row r="75" spans="4:9" ht="11.25" hidden="1">
      <c r="D75" s="113">
        <v>2041</v>
      </c>
      <c r="E75" s="118">
        <v>180376131.53067324</v>
      </c>
      <c r="F75" s="118">
        <f t="shared" si="14"/>
        <v>-1408151692.4892242</v>
      </c>
      <c r="G75" s="115">
        <f>E27-F75</f>
        <v>1408151692.4892242</v>
      </c>
      <c r="H75" s="114"/>
      <c r="I75" s="118"/>
    </row>
    <row r="76" spans="5:9" ht="11.25" hidden="1">
      <c r="E76" s="115"/>
      <c r="F76" s="115"/>
      <c r="G76" s="115"/>
      <c r="H76" s="114"/>
      <c r="I76" s="118"/>
    </row>
    <row r="77" spans="5:9" ht="11.25">
      <c r="E77" s="115"/>
      <c r="F77" s="115"/>
      <c r="G77" s="115"/>
      <c r="H77" s="114"/>
      <c r="I77" s="118"/>
    </row>
    <row r="78" spans="5:9" ht="11.25">
      <c r="E78" s="115"/>
      <c r="F78" s="115"/>
      <c r="G78" s="115"/>
      <c r="H78" s="114"/>
      <c r="I78" s="118"/>
    </row>
  </sheetData>
  <sheetProtection/>
  <mergeCells count="54">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C14:AC15"/>
    <mergeCell ref="B26:D26"/>
    <mergeCell ref="B27:D27"/>
    <mergeCell ref="T14:T15"/>
    <mergeCell ref="U14:U15"/>
    <mergeCell ref="V14:V15"/>
    <mergeCell ref="X14:X15"/>
    <mergeCell ref="Y14:Y15"/>
    <mergeCell ref="N14:N15"/>
    <mergeCell ref="O14:O15"/>
    <mergeCell ref="P14:P15"/>
    <mergeCell ref="Q14:Q15"/>
    <mergeCell ref="W14:W15"/>
    <mergeCell ref="E14:E15"/>
    <mergeCell ref="F14:F15"/>
    <mergeCell ref="G14:G15"/>
    <mergeCell ref="B31:P32"/>
    <mergeCell ref="B28:D28"/>
    <mergeCell ref="Z14:Z15"/>
    <mergeCell ref="AA14:AA15"/>
    <mergeCell ref="AB14:AB15"/>
    <mergeCell ref="H14:H15"/>
    <mergeCell ref="I14:I15"/>
    <mergeCell ref="R14:R15"/>
    <mergeCell ref="S14:S15"/>
    <mergeCell ref="J14:J15"/>
    <mergeCell ref="K14:K15"/>
    <mergeCell ref="L14:L15"/>
    <mergeCell ref="M14:M15"/>
  </mergeCells>
  <printOptions/>
  <pageMargins left="0.3937007874015748" right="0.15748031496062992" top="0.984251968503937" bottom="0.7874015748031497" header="0.3937007874015748" footer="0.3937007874015748"/>
  <pageSetup fitToHeight="0" fitToWidth="1" horizontalDpi="600" verticalDpi="600" orientation="landscape" paperSize="9" scale="43" r:id="rId2"/>
  <headerFooter alignWithMargins="0">
    <oddFooter>&amp;L&amp;A&amp;C25.2.2013</oddFooter>
  </headerFooter>
  <legacyDrawing r:id="rId1"/>
</worksheet>
</file>

<file path=xl/worksheets/sheet13.xml><?xml version="1.0" encoding="utf-8"?>
<worksheet xmlns="http://schemas.openxmlformats.org/spreadsheetml/2006/main" xmlns:r="http://schemas.openxmlformats.org/officeDocument/2006/relationships">
  <sheetPr codeName="List28">
    <tabColor theme="3" tint="0.5999900102615356"/>
    <pageSetUpPr fitToPage="1"/>
  </sheetPr>
  <dimension ref="A1:AC41"/>
  <sheetViews>
    <sheetView zoomScale="90" zoomScaleNormal="90" zoomScalePageLayoutView="0" workbookViewId="0" topLeftCell="A1">
      <selection activeCell="H23" sqref="H23"/>
    </sheetView>
  </sheetViews>
  <sheetFormatPr defaultColWidth="9.140625" defaultRowHeight="12.75"/>
  <cols>
    <col min="1" max="1" width="2.7109375" style="72" customWidth="1"/>
    <col min="2" max="2" width="5.7109375" style="72" customWidth="1"/>
    <col min="3" max="3" width="36.28125" style="72" customWidth="1"/>
    <col min="4" max="4" width="12.28125" style="72" customWidth="1"/>
    <col min="5" max="29" width="12.57421875" style="72" customWidth="1"/>
    <col min="30" max="34" width="7.140625" style="72" customWidth="1"/>
    <col min="35" max="16384" width="9.140625" style="72" customWidth="1"/>
  </cols>
  <sheetData>
    <row r="1" spans="1:19" ht="12" thickBot="1">
      <c r="A1" s="70" t="s">
        <v>1</v>
      </c>
      <c r="B1" s="70"/>
      <c r="C1" s="70"/>
      <c r="D1" s="70"/>
      <c r="E1" s="70"/>
      <c r="F1" s="70"/>
      <c r="G1" s="70"/>
      <c r="H1" s="70"/>
      <c r="I1" s="70"/>
      <c r="J1" s="70"/>
      <c r="K1" s="70"/>
      <c r="L1" s="70"/>
      <c r="M1" s="70"/>
      <c r="N1" s="70"/>
      <c r="O1" s="70"/>
      <c r="P1" s="70"/>
      <c r="Q1" s="70"/>
      <c r="R1" s="70"/>
      <c r="S1" s="70"/>
    </row>
    <row r="2" spans="2:29" ht="12.75">
      <c r="B2" s="948" t="s">
        <v>206</v>
      </c>
      <c r="C2" s="949" t="str">
        <f>IF('0 Úvod'!$M$3="English",Slovnik!D330,Slovnik!C330)</f>
        <v>Udržitelnost projektu</v>
      </c>
      <c r="D2" s="950" t="s">
        <v>134</v>
      </c>
      <c r="E2" s="1513">
        <f>'0 Úvod'!G18</f>
        <v>2014</v>
      </c>
      <c r="F2" s="1503">
        <f aca="true" t="shared" si="0" ref="F2:S2">E2+1</f>
        <v>2015</v>
      </c>
      <c r="G2" s="1503">
        <f t="shared" si="0"/>
        <v>2016</v>
      </c>
      <c r="H2" s="1503">
        <f t="shared" si="0"/>
        <v>2017</v>
      </c>
      <c r="I2" s="1503">
        <f t="shared" si="0"/>
        <v>2018</v>
      </c>
      <c r="J2" s="1503">
        <f t="shared" si="0"/>
        <v>2019</v>
      </c>
      <c r="K2" s="1503">
        <f t="shared" si="0"/>
        <v>2020</v>
      </c>
      <c r="L2" s="1503">
        <f t="shared" si="0"/>
        <v>2021</v>
      </c>
      <c r="M2" s="1503">
        <f t="shared" si="0"/>
        <v>2022</v>
      </c>
      <c r="N2" s="1503">
        <f t="shared" si="0"/>
        <v>2023</v>
      </c>
      <c r="O2" s="1503">
        <f t="shared" si="0"/>
        <v>2024</v>
      </c>
      <c r="P2" s="1503">
        <f t="shared" si="0"/>
        <v>2025</v>
      </c>
      <c r="Q2" s="1503">
        <f t="shared" si="0"/>
        <v>2026</v>
      </c>
      <c r="R2" s="1503">
        <f t="shared" si="0"/>
        <v>2027</v>
      </c>
      <c r="S2" s="1503">
        <f t="shared" si="0"/>
        <v>2028</v>
      </c>
      <c r="T2" s="1503">
        <f aca="true" t="shared" si="1" ref="T2:AC2">S2+1</f>
        <v>2029</v>
      </c>
      <c r="U2" s="1503">
        <f t="shared" si="1"/>
        <v>2030</v>
      </c>
      <c r="V2" s="1503">
        <f t="shared" si="1"/>
        <v>2031</v>
      </c>
      <c r="W2" s="1503">
        <f t="shared" si="1"/>
        <v>2032</v>
      </c>
      <c r="X2" s="1503">
        <f t="shared" si="1"/>
        <v>2033</v>
      </c>
      <c r="Y2" s="1503">
        <f t="shared" si="1"/>
        <v>2034</v>
      </c>
      <c r="Z2" s="1503">
        <f t="shared" si="1"/>
        <v>2035</v>
      </c>
      <c r="AA2" s="1503">
        <f t="shared" si="1"/>
        <v>2036</v>
      </c>
      <c r="AB2" s="1503">
        <f t="shared" si="1"/>
        <v>2037</v>
      </c>
      <c r="AC2" s="1505">
        <f t="shared" si="1"/>
        <v>2038</v>
      </c>
    </row>
    <row r="3" spans="1:29" ht="13.5" thickBot="1">
      <c r="A3" s="106"/>
      <c r="B3" s="954" t="s">
        <v>17</v>
      </c>
      <c r="C3" s="955" t="str">
        <f>IF('0 Úvod'!$M$3="English",Slovnik!D331,Slovnik!C331)</f>
        <v>Stálé ceny</v>
      </c>
      <c r="D3" s="952" t="str">
        <f>IF('0 Úvod'!$M$3="English",Slovnik!D346,Slovnik!C346)</f>
        <v>Celkem</v>
      </c>
      <c r="E3" s="1514"/>
      <c r="F3" s="1504"/>
      <c r="G3" s="1504"/>
      <c r="H3" s="1504"/>
      <c r="I3" s="1504"/>
      <c r="J3" s="1504"/>
      <c r="K3" s="1504"/>
      <c r="L3" s="1504"/>
      <c r="M3" s="1504"/>
      <c r="N3" s="1504"/>
      <c r="O3" s="1504"/>
      <c r="P3" s="1504"/>
      <c r="Q3" s="1504"/>
      <c r="R3" s="1504"/>
      <c r="S3" s="1504"/>
      <c r="T3" s="1504"/>
      <c r="U3" s="1504"/>
      <c r="V3" s="1504"/>
      <c r="W3" s="1504"/>
      <c r="X3" s="1504"/>
      <c r="Y3" s="1504"/>
      <c r="Z3" s="1504"/>
      <c r="AA3" s="1504"/>
      <c r="AB3" s="1504"/>
      <c r="AC3" s="1506"/>
    </row>
    <row r="4" spans="1:29" ht="12">
      <c r="A4" s="106"/>
      <c r="B4" s="956"/>
      <c r="C4" s="961" t="str">
        <f>IF('0 Úvod'!$M$3="English",Slovnik!D332,Slovnik!C332)</f>
        <v>Příjmy</v>
      </c>
      <c r="D4" s="926">
        <f>SUM(E4:AC4,E21:AC21)</f>
        <v>0</v>
      </c>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5"/>
    </row>
    <row r="5" spans="1:29" ht="12">
      <c r="A5" s="106"/>
      <c r="B5" s="956"/>
      <c r="C5" s="961" t="str">
        <f>IF('0 Úvod'!$M$3="English",Slovnik!D333,Slovnik!C333)</f>
        <v>Úvěry</v>
      </c>
      <c r="D5" s="926">
        <f>SUM(E5:AC5,E22:AC22)</f>
        <v>0</v>
      </c>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5"/>
    </row>
    <row r="6" spans="1:29" ht="12">
      <c r="A6" s="106" t="s">
        <v>1</v>
      </c>
      <c r="B6" s="956"/>
      <c r="C6" s="961" t="str">
        <f>IF('0 Úvod'!$M$3="English",Slovnik!D334,Slovnik!C334)</f>
        <v>Celkové zdroje žadatele</v>
      </c>
      <c r="D6" s="926">
        <f aca="true" t="shared" si="2" ref="D6:D16">SUM(E6:AC6,E23:AC23)</f>
        <v>0</v>
      </c>
      <c r="E6" s="1066">
        <f>0.15*'1 CIN'!G10</f>
        <v>0</v>
      </c>
      <c r="F6" s="1066">
        <f>0.15*'1 CIN'!H10</f>
        <v>0</v>
      </c>
      <c r="G6" s="1066">
        <f>0.15*'1 CIN'!I10</f>
        <v>0</v>
      </c>
      <c r="H6" s="1066">
        <f>0.15*'1 CIN'!J10</f>
        <v>0</v>
      </c>
      <c r="I6" s="1066">
        <f>0.15*'1 CIN'!K10</f>
        <v>0</v>
      </c>
      <c r="J6" s="1066">
        <f>0.15*'1 CIN'!L10</f>
        <v>0</v>
      </c>
      <c r="K6" s="1066">
        <f>0.15*'1 CIN'!M10</f>
        <v>0</v>
      </c>
      <c r="L6" s="1066">
        <f>0.15*'1 CIN'!N10</f>
        <v>0</v>
      </c>
      <c r="M6" s="1066"/>
      <c r="N6" s="1066"/>
      <c r="O6" s="1066"/>
      <c r="P6" s="1066"/>
      <c r="Q6" s="1066"/>
      <c r="R6" s="1066"/>
      <c r="S6" s="1066"/>
      <c r="T6" s="1066"/>
      <c r="U6" s="1066"/>
      <c r="V6" s="1066"/>
      <c r="W6" s="1066"/>
      <c r="X6" s="1066"/>
      <c r="Y6" s="1066"/>
      <c r="Z6" s="1066"/>
      <c r="AA6" s="1066"/>
      <c r="AB6" s="1066"/>
      <c r="AC6" s="1067"/>
    </row>
    <row r="7" spans="1:29" ht="12">
      <c r="A7" s="107" t="s">
        <v>1</v>
      </c>
      <c r="B7" s="956"/>
      <c r="C7" s="962" t="str">
        <f>IF('0 Úvod'!$M$3="English",Slovnik!D335,Slovnik!C335)</f>
        <v>Zdroje státního rozpočtu</v>
      </c>
      <c r="D7" s="926">
        <f t="shared" si="2"/>
        <v>0</v>
      </c>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7"/>
    </row>
    <row r="8" spans="1:29" ht="12">
      <c r="A8" s="106" t="s">
        <v>1</v>
      </c>
      <c r="B8" s="956"/>
      <c r="C8" s="963" t="str">
        <f>IF('0 Úvod'!$M$3="English",Slovnik!D336,Slovnik!C336)</f>
        <v>Granty EU</v>
      </c>
      <c r="D8" s="926">
        <f t="shared" si="2"/>
        <v>0</v>
      </c>
      <c r="E8" s="1066">
        <f>0.85*'1 CIN'!G10</f>
        <v>0</v>
      </c>
      <c r="F8" s="1066">
        <f>0.85*'1 CIN'!H10</f>
        <v>0</v>
      </c>
      <c r="G8" s="1066">
        <f>0.85*'1 CIN'!I10</f>
        <v>0</v>
      </c>
      <c r="H8" s="1066">
        <f>0.85*'1 CIN'!J10</f>
        <v>0</v>
      </c>
      <c r="I8" s="1066">
        <f>0.85*'1 CIN'!K10</f>
        <v>0</v>
      </c>
      <c r="J8" s="1066">
        <f>0.85*'1 CIN'!L10</f>
        <v>0</v>
      </c>
      <c r="K8" s="1066">
        <f>0.85*'1 CIN'!M10</f>
        <v>0</v>
      </c>
      <c r="L8" s="1066">
        <f>0.85*'1 CIN'!N10</f>
        <v>0</v>
      </c>
      <c r="M8" s="1066"/>
      <c r="N8" s="1066"/>
      <c r="O8" s="1066"/>
      <c r="P8" s="1066"/>
      <c r="Q8" s="1066"/>
      <c r="R8" s="1066"/>
      <c r="S8" s="1066"/>
      <c r="T8" s="1066"/>
      <c r="U8" s="1066"/>
      <c r="V8" s="1066"/>
      <c r="W8" s="1066"/>
      <c r="X8" s="1066"/>
      <c r="Y8" s="1066"/>
      <c r="Z8" s="1066"/>
      <c r="AA8" s="1066"/>
      <c r="AB8" s="1066"/>
      <c r="AC8" s="1067"/>
    </row>
    <row r="9" spans="1:29" ht="12">
      <c r="A9" s="106"/>
      <c r="B9" s="956"/>
      <c r="C9" s="963" t="str">
        <f>IF('0 Úvod'!$M$3="English",Slovnik!D337,Slovnik!C337)</f>
        <v>Dotace</v>
      </c>
      <c r="D9" s="926">
        <f t="shared" si="2"/>
        <v>0</v>
      </c>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7"/>
    </row>
    <row r="10" spans="2:29" ht="12">
      <c r="B10" s="957"/>
      <c r="C10" s="965" t="str">
        <f>IF('0 Úvod'!$M$3="English",Slovnik!D338,Slovnik!C338)</f>
        <v>Celkové příjmy</v>
      </c>
      <c r="D10" s="926">
        <f t="shared" si="2"/>
        <v>0</v>
      </c>
      <c r="E10" s="916">
        <f>SUM(E4:E9)</f>
        <v>0</v>
      </c>
      <c r="F10" s="916">
        <f aca="true" t="shared" si="3" ref="F10:S10">SUM(F4:F9)</f>
        <v>0</v>
      </c>
      <c r="G10" s="916">
        <f t="shared" si="3"/>
        <v>0</v>
      </c>
      <c r="H10" s="916">
        <f t="shared" si="3"/>
        <v>0</v>
      </c>
      <c r="I10" s="916">
        <f t="shared" si="3"/>
        <v>0</v>
      </c>
      <c r="J10" s="916">
        <f t="shared" si="3"/>
        <v>0</v>
      </c>
      <c r="K10" s="916">
        <f t="shared" si="3"/>
        <v>0</v>
      </c>
      <c r="L10" s="916">
        <f t="shared" si="3"/>
        <v>0</v>
      </c>
      <c r="M10" s="916">
        <f t="shared" si="3"/>
        <v>0</v>
      </c>
      <c r="N10" s="916">
        <f t="shared" si="3"/>
        <v>0</v>
      </c>
      <c r="O10" s="916">
        <f t="shared" si="3"/>
        <v>0</v>
      </c>
      <c r="P10" s="916">
        <f t="shared" si="3"/>
        <v>0</v>
      </c>
      <c r="Q10" s="916">
        <f t="shared" si="3"/>
        <v>0</v>
      </c>
      <c r="R10" s="916">
        <f t="shared" si="3"/>
        <v>0</v>
      </c>
      <c r="S10" s="916">
        <f t="shared" si="3"/>
        <v>0</v>
      </c>
      <c r="T10" s="916">
        <f aca="true" t="shared" si="4" ref="T10:AC10">SUM(T4:T9)</f>
        <v>0</v>
      </c>
      <c r="U10" s="916">
        <f t="shared" si="4"/>
        <v>0</v>
      </c>
      <c r="V10" s="916">
        <f t="shared" si="4"/>
        <v>0</v>
      </c>
      <c r="W10" s="916">
        <f t="shared" si="4"/>
        <v>0</v>
      </c>
      <c r="X10" s="916">
        <f t="shared" si="4"/>
        <v>0</v>
      </c>
      <c r="Y10" s="916">
        <f t="shared" si="4"/>
        <v>0</v>
      </c>
      <c r="Z10" s="916">
        <f t="shared" si="4"/>
        <v>0</v>
      </c>
      <c r="AA10" s="916">
        <f t="shared" si="4"/>
        <v>0</v>
      </c>
      <c r="AB10" s="916">
        <f t="shared" si="4"/>
        <v>0</v>
      </c>
      <c r="AC10" s="920">
        <f t="shared" si="4"/>
        <v>0</v>
      </c>
    </row>
    <row r="11" spans="1:29" ht="12">
      <c r="A11" s="106"/>
      <c r="B11" s="958"/>
      <c r="C11" s="966" t="str">
        <f>IF('0 Úvod'!$M$3="English",Slovnik!D339,Slovnik!C339)</f>
        <v>Celkové provozní náklady</v>
      </c>
      <c r="D11" s="927">
        <f t="shared" si="2"/>
        <v>0</v>
      </c>
      <c r="E11" s="917">
        <f>'10b Finanční analýza'!E6</f>
        <v>0</v>
      </c>
      <c r="F11" s="917">
        <f>'10b Finanční analýza'!F6</f>
        <v>0</v>
      </c>
      <c r="G11" s="917">
        <f>'10b Finanční analýza'!G6</f>
        <v>0</v>
      </c>
      <c r="H11" s="917">
        <f>'10b Finanční analýza'!H6</f>
        <v>0</v>
      </c>
      <c r="I11" s="917">
        <f>'10b Finanční analýza'!I6</f>
        <v>0</v>
      </c>
      <c r="J11" s="917">
        <f>'10b Finanční analýza'!J6</f>
        <v>0</v>
      </c>
      <c r="K11" s="917">
        <f>'10b Finanční analýza'!K6</f>
        <v>0</v>
      </c>
      <c r="L11" s="917">
        <f>'10b Finanční analýza'!L6</f>
        <v>0</v>
      </c>
      <c r="M11" s="917">
        <f>'10b Finanční analýza'!M6</f>
        <v>0</v>
      </c>
      <c r="N11" s="917">
        <f>'10b Finanční analýza'!N6</f>
        <v>0</v>
      </c>
      <c r="O11" s="917">
        <f>'10b Finanční analýza'!O6</f>
        <v>0</v>
      </c>
      <c r="P11" s="917">
        <f>'10b Finanční analýza'!P6</f>
        <v>0</v>
      </c>
      <c r="Q11" s="917">
        <f>'10b Finanční analýza'!Q6</f>
        <v>0</v>
      </c>
      <c r="R11" s="917">
        <f>'10b Finanční analýza'!R6</f>
        <v>0</v>
      </c>
      <c r="S11" s="917">
        <f>'10b Finanční analýza'!S6</f>
        <v>0</v>
      </c>
      <c r="T11" s="917">
        <f>'10b Finanční analýza'!T6</f>
        <v>0</v>
      </c>
      <c r="U11" s="917">
        <f>'10b Finanční analýza'!U6</f>
        <v>0</v>
      </c>
      <c r="V11" s="917">
        <f>'10b Finanční analýza'!V6</f>
        <v>0</v>
      </c>
      <c r="W11" s="917">
        <f>'10b Finanční analýza'!W6</f>
        <v>0</v>
      </c>
      <c r="X11" s="917">
        <f>'10b Finanční analýza'!X6</f>
        <v>0</v>
      </c>
      <c r="Y11" s="917">
        <f>'10b Finanční analýza'!Y6</f>
        <v>0</v>
      </c>
      <c r="Z11" s="917">
        <f>'10b Finanční analýza'!Z6</f>
        <v>0</v>
      </c>
      <c r="AA11" s="917">
        <f>'10b Finanční analýza'!AA6</f>
        <v>0</v>
      </c>
      <c r="AB11" s="917">
        <f>'10b Finanční analýza'!AB6</f>
        <v>0</v>
      </c>
      <c r="AC11" s="921">
        <f>'10b Finanční analýza'!AC6</f>
        <v>0</v>
      </c>
    </row>
    <row r="12" spans="1:29" ht="12">
      <c r="A12" s="106"/>
      <c r="B12" s="956"/>
      <c r="C12" s="967" t="str">
        <f>IF('0 Úvod'!$M$3="English",Slovnik!D340,Slovnik!C340)</f>
        <v>Celkové investiční náklady</v>
      </c>
      <c r="D12" s="926">
        <f t="shared" si="2"/>
        <v>0</v>
      </c>
      <c r="E12" s="71">
        <f>'10b Finanční analýza'!E7</f>
        <v>0</v>
      </c>
      <c r="F12" s="71">
        <f>'10b Finanční analýza'!F7</f>
        <v>0</v>
      </c>
      <c r="G12" s="71">
        <f>'10b Finanční analýza'!G7</f>
        <v>0</v>
      </c>
      <c r="H12" s="71">
        <f>'10b Finanční analýza'!H7</f>
        <v>0</v>
      </c>
      <c r="I12" s="71">
        <f>'10b Finanční analýza'!I7</f>
        <v>0</v>
      </c>
      <c r="J12" s="71">
        <f>'10b Finanční analýza'!J7</f>
        <v>0</v>
      </c>
      <c r="K12" s="71">
        <f>'10b Finanční analýza'!K7</f>
        <v>0</v>
      </c>
      <c r="L12" s="71">
        <f>'10b Finanční analýza'!L7</f>
        <v>0</v>
      </c>
      <c r="M12" s="71">
        <f>'10b Finanční analýza'!M7</f>
        <v>0</v>
      </c>
      <c r="N12" s="71">
        <f>'10b Finanční analýza'!N7</f>
        <v>0</v>
      </c>
      <c r="O12" s="71">
        <f>'10b Finanční analýza'!O7</f>
        <v>0</v>
      </c>
      <c r="P12" s="71">
        <f>'10b Finanční analýza'!P7</f>
        <v>0</v>
      </c>
      <c r="Q12" s="71">
        <f>'10b Finanční analýza'!Q7</f>
        <v>0</v>
      </c>
      <c r="R12" s="71">
        <f>'10b Finanční analýza'!R7</f>
        <v>0</v>
      </c>
      <c r="S12" s="71">
        <f>'10b Finanční analýza'!S7</f>
        <v>0</v>
      </c>
      <c r="T12" s="71">
        <f>'10b Finanční analýza'!T7</f>
        <v>0</v>
      </c>
      <c r="U12" s="71">
        <f>'10b Finanční analýza'!U7</f>
        <v>0</v>
      </c>
      <c r="V12" s="71">
        <f>'10b Finanční analýza'!V7</f>
        <v>0</v>
      </c>
      <c r="W12" s="71">
        <f>'10b Finanční analýza'!W7</f>
        <v>0</v>
      </c>
      <c r="X12" s="71">
        <f>'10b Finanční analýza'!X7</f>
        <v>0</v>
      </c>
      <c r="Y12" s="71">
        <f>'10b Finanční analýza'!Y7</f>
        <v>0</v>
      </c>
      <c r="Z12" s="71">
        <f>'10b Finanční analýza'!Z7</f>
        <v>0</v>
      </c>
      <c r="AA12" s="71">
        <f>'10b Finanční analýza'!AA7</f>
        <v>0</v>
      </c>
      <c r="AB12" s="71">
        <f>'10b Finanční analýza'!AB7</f>
        <v>0</v>
      </c>
      <c r="AC12" s="919">
        <f>'10b Finanční analýza'!AC7</f>
        <v>0</v>
      </c>
    </row>
    <row r="13" spans="1:29" ht="12">
      <c r="A13" s="106"/>
      <c r="B13" s="956"/>
      <c r="C13" s="968" t="str">
        <f>IF('0 Úvod'!$M$3="English",Slovnik!D341,Slovnik!C341)</f>
        <v>Splácení jistiny úvěru</v>
      </c>
      <c r="D13" s="926">
        <f t="shared" si="2"/>
        <v>0</v>
      </c>
      <c r="E13" s="1068"/>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7"/>
    </row>
    <row r="14" spans="1:29" ht="10.5" customHeight="1">
      <c r="A14" s="106"/>
      <c r="B14" s="956"/>
      <c r="C14" s="968" t="str">
        <f>IF('0 Úvod'!$M$3="English",Slovnik!D342,Slovnik!C342)</f>
        <v>Splácení úroků z úvěru</v>
      </c>
      <c r="D14" s="926">
        <f t="shared" si="2"/>
        <v>0</v>
      </c>
      <c r="E14" s="1068"/>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7"/>
    </row>
    <row r="15" spans="2:29" ht="12">
      <c r="B15" s="959"/>
      <c r="C15" s="969" t="str">
        <f>IF('0 Úvod'!$M$3="English",Slovnik!D343,Slovnik!C343)</f>
        <v>Celkové výdaje</v>
      </c>
      <c r="D15" s="928">
        <f t="shared" si="2"/>
        <v>0</v>
      </c>
      <c r="E15" s="918">
        <f>SUM(E11:E14)</f>
        <v>0</v>
      </c>
      <c r="F15" s="918">
        <f aca="true" t="shared" si="5" ref="F15:S15">SUM(F11:F14)</f>
        <v>0</v>
      </c>
      <c r="G15" s="918">
        <f t="shared" si="5"/>
        <v>0</v>
      </c>
      <c r="H15" s="918">
        <f t="shared" si="5"/>
        <v>0</v>
      </c>
      <c r="I15" s="918">
        <f t="shared" si="5"/>
        <v>0</v>
      </c>
      <c r="J15" s="918">
        <f t="shared" si="5"/>
        <v>0</v>
      </c>
      <c r="K15" s="918">
        <f t="shared" si="5"/>
        <v>0</v>
      </c>
      <c r="L15" s="918">
        <f t="shared" si="5"/>
        <v>0</v>
      </c>
      <c r="M15" s="918">
        <f t="shared" si="5"/>
        <v>0</v>
      </c>
      <c r="N15" s="918">
        <f t="shared" si="5"/>
        <v>0</v>
      </c>
      <c r="O15" s="918">
        <f t="shared" si="5"/>
        <v>0</v>
      </c>
      <c r="P15" s="918">
        <f t="shared" si="5"/>
        <v>0</v>
      </c>
      <c r="Q15" s="918">
        <f t="shared" si="5"/>
        <v>0</v>
      </c>
      <c r="R15" s="918">
        <f t="shared" si="5"/>
        <v>0</v>
      </c>
      <c r="S15" s="918">
        <f t="shared" si="5"/>
        <v>0</v>
      </c>
      <c r="T15" s="918">
        <f aca="true" t="shared" si="6" ref="T15:AC15">SUM(T11:T14)</f>
        <v>0</v>
      </c>
      <c r="U15" s="918">
        <f t="shared" si="6"/>
        <v>0</v>
      </c>
      <c r="V15" s="918">
        <f t="shared" si="6"/>
        <v>0</v>
      </c>
      <c r="W15" s="918">
        <f t="shared" si="6"/>
        <v>0</v>
      </c>
      <c r="X15" s="918">
        <f t="shared" si="6"/>
        <v>0</v>
      </c>
      <c r="Y15" s="918">
        <f t="shared" si="6"/>
        <v>0</v>
      </c>
      <c r="Z15" s="918">
        <f t="shared" si="6"/>
        <v>0</v>
      </c>
      <c r="AA15" s="918">
        <f t="shared" si="6"/>
        <v>0</v>
      </c>
      <c r="AB15" s="918">
        <f t="shared" si="6"/>
        <v>0</v>
      </c>
      <c r="AC15" s="922">
        <f t="shared" si="6"/>
        <v>0</v>
      </c>
    </row>
    <row r="16" spans="2:29" ht="12">
      <c r="B16" s="957"/>
      <c r="C16" s="965" t="str">
        <f>IF('0 Úvod'!$M$3="English",Slovnik!D344,Slovnik!C344)</f>
        <v>Cash Flow pro příslušný rok</v>
      </c>
      <c r="D16" s="926">
        <f t="shared" si="2"/>
        <v>0</v>
      </c>
      <c r="E16" s="108">
        <f aca="true" t="shared" si="7" ref="E16:S16">E10-E15</f>
        <v>0</v>
      </c>
      <c r="F16" s="108">
        <f t="shared" si="7"/>
        <v>0</v>
      </c>
      <c r="G16" s="108">
        <f t="shared" si="7"/>
        <v>0</v>
      </c>
      <c r="H16" s="108">
        <f t="shared" si="7"/>
        <v>0</v>
      </c>
      <c r="I16" s="108">
        <f t="shared" si="7"/>
        <v>0</v>
      </c>
      <c r="J16" s="108">
        <f t="shared" si="7"/>
        <v>0</v>
      </c>
      <c r="K16" s="108">
        <f t="shared" si="7"/>
        <v>0</v>
      </c>
      <c r="L16" s="108">
        <f t="shared" si="7"/>
        <v>0</v>
      </c>
      <c r="M16" s="108">
        <f t="shared" si="7"/>
        <v>0</v>
      </c>
      <c r="N16" s="108">
        <f t="shared" si="7"/>
        <v>0</v>
      </c>
      <c r="O16" s="108">
        <f t="shared" si="7"/>
        <v>0</v>
      </c>
      <c r="P16" s="108">
        <f t="shared" si="7"/>
        <v>0</v>
      </c>
      <c r="Q16" s="108">
        <f t="shared" si="7"/>
        <v>0</v>
      </c>
      <c r="R16" s="108">
        <f t="shared" si="7"/>
        <v>0</v>
      </c>
      <c r="S16" s="108">
        <f t="shared" si="7"/>
        <v>0</v>
      </c>
      <c r="T16" s="108">
        <f aca="true" t="shared" si="8" ref="T16:AC16">T10-T15</f>
        <v>0</v>
      </c>
      <c r="U16" s="108">
        <f t="shared" si="8"/>
        <v>0</v>
      </c>
      <c r="V16" s="108">
        <f t="shared" si="8"/>
        <v>0</v>
      </c>
      <c r="W16" s="108">
        <f t="shared" si="8"/>
        <v>0</v>
      </c>
      <c r="X16" s="108">
        <f t="shared" si="8"/>
        <v>0</v>
      </c>
      <c r="Y16" s="108">
        <f t="shared" si="8"/>
        <v>0</v>
      </c>
      <c r="Z16" s="108">
        <f t="shared" si="8"/>
        <v>0</v>
      </c>
      <c r="AA16" s="108">
        <f t="shared" si="8"/>
        <v>0</v>
      </c>
      <c r="AB16" s="108">
        <f t="shared" si="8"/>
        <v>0</v>
      </c>
      <c r="AC16" s="923">
        <f t="shared" si="8"/>
        <v>0</v>
      </c>
    </row>
    <row r="17" spans="2:29" ht="12.75" thickBot="1">
      <c r="B17" s="960"/>
      <c r="C17" s="970" t="str">
        <f>IF('0 Úvod'!$M$3="English",Slovnik!D345,Slovnik!C345)</f>
        <v>Kumulované Cash Flow </v>
      </c>
      <c r="D17" s="929"/>
      <c r="E17" s="924">
        <f>E16</f>
        <v>0</v>
      </c>
      <c r="F17" s="924">
        <f>F16+E17</f>
        <v>0</v>
      </c>
      <c r="G17" s="924">
        <f aca="true" t="shared" si="9" ref="G17:S17">G16+F17</f>
        <v>0</v>
      </c>
      <c r="H17" s="924">
        <f t="shared" si="9"/>
        <v>0</v>
      </c>
      <c r="I17" s="924">
        <f t="shared" si="9"/>
        <v>0</v>
      </c>
      <c r="J17" s="924">
        <f t="shared" si="9"/>
        <v>0</v>
      </c>
      <c r="K17" s="924">
        <f t="shared" si="9"/>
        <v>0</v>
      </c>
      <c r="L17" s="924">
        <f t="shared" si="9"/>
        <v>0</v>
      </c>
      <c r="M17" s="924">
        <f t="shared" si="9"/>
        <v>0</v>
      </c>
      <c r="N17" s="924">
        <f t="shared" si="9"/>
        <v>0</v>
      </c>
      <c r="O17" s="924">
        <f t="shared" si="9"/>
        <v>0</v>
      </c>
      <c r="P17" s="924">
        <f t="shared" si="9"/>
        <v>0</v>
      </c>
      <c r="Q17" s="924">
        <f t="shared" si="9"/>
        <v>0</v>
      </c>
      <c r="R17" s="924">
        <f t="shared" si="9"/>
        <v>0</v>
      </c>
      <c r="S17" s="924">
        <f t="shared" si="9"/>
        <v>0</v>
      </c>
      <c r="T17" s="924">
        <f aca="true" t="shared" si="10" ref="T17:AB17">T16+S17</f>
        <v>0</v>
      </c>
      <c r="U17" s="924">
        <f t="shared" si="10"/>
        <v>0</v>
      </c>
      <c r="V17" s="924">
        <f t="shared" si="10"/>
        <v>0</v>
      </c>
      <c r="W17" s="924">
        <f t="shared" si="10"/>
        <v>0</v>
      </c>
      <c r="X17" s="924">
        <f t="shared" si="10"/>
        <v>0</v>
      </c>
      <c r="Y17" s="924">
        <f t="shared" si="10"/>
        <v>0</v>
      </c>
      <c r="Z17" s="924">
        <f t="shared" si="10"/>
        <v>0</v>
      </c>
      <c r="AA17" s="924">
        <f t="shared" si="10"/>
        <v>0</v>
      </c>
      <c r="AB17" s="924">
        <f t="shared" si="10"/>
        <v>0</v>
      </c>
      <c r="AC17" s="925">
        <f>AB17+AC16</f>
        <v>0</v>
      </c>
    </row>
    <row r="18" spans="1:19" ht="12" thickBot="1">
      <c r="A18" s="70"/>
      <c r="B18" s="70"/>
      <c r="C18" s="70"/>
      <c r="D18" s="70"/>
      <c r="E18" s="71"/>
      <c r="F18" s="71"/>
      <c r="G18" s="71"/>
      <c r="H18" s="71"/>
      <c r="I18" s="71"/>
      <c r="J18" s="71"/>
      <c r="K18" s="71"/>
      <c r="L18" s="71"/>
      <c r="M18" s="71"/>
      <c r="N18" s="71"/>
      <c r="O18" s="71"/>
      <c r="P18" s="71"/>
      <c r="Q18" s="71"/>
      <c r="R18" s="71"/>
      <c r="S18" s="71"/>
    </row>
    <row r="19" spans="2:29" ht="12.75">
      <c r="B19" s="948" t="s">
        <v>206</v>
      </c>
      <c r="C19" s="949" t="str">
        <f>C2</f>
        <v>Udržitelnost projektu</v>
      </c>
      <c r="D19" s="950" t="s">
        <v>134</v>
      </c>
      <c r="E19" s="1513">
        <f>AC2+1</f>
        <v>2039</v>
      </c>
      <c r="F19" s="1503">
        <f aca="true" t="shared" si="11" ref="F19:S19">E19+1</f>
        <v>2040</v>
      </c>
      <c r="G19" s="1503">
        <f t="shared" si="11"/>
        <v>2041</v>
      </c>
      <c r="H19" s="1503">
        <f t="shared" si="11"/>
        <v>2042</v>
      </c>
      <c r="I19" s="1503">
        <f t="shared" si="11"/>
        <v>2043</v>
      </c>
      <c r="J19" s="1503">
        <f t="shared" si="11"/>
        <v>2044</v>
      </c>
      <c r="K19" s="1503">
        <f t="shared" si="11"/>
        <v>2045</v>
      </c>
      <c r="L19" s="1503">
        <f t="shared" si="11"/>
        <v>2046</v>
      </c>
      <c r="M19" s="1503">
        <f t="shared" si="11"/>
        <v>2047</v>
      </c>
      <c r="N19" s="1503">
        <f t="shared" si="11"/>
        <v>2048</v>
      </c>
      <c r="O19" s="1503">
        <f t="shared" si="11"/>
        <v>2049</v>
      </c>
      <c r="P19" s="1503">
        <f t="shared" si="11"/>
        <v>2050</v>
      </c>
      <c r="Q19" s="1503">
        <f t="shared" si="11"/>
        <v>2051</v>
      </c>
      <c r="R19" s="1503">
        <f t="shared" si="11"/>
        <v>2052</v>
      </c>
      <c r="S19" s="1503">
        <f t="shared" si="11"/>
        <v>2053</v>
      </c>
      <c r="T19" s="1503">
        <f aca="true" t="shared" si="12" ref="T19:AC19">S19+1</f>
        <v>2054</v>
      </c>
      <c r="U19" s="1503">
        <f t="shared" si="12"/>
        <v>2055</v>
      </c>
      <c r="V19" s="1503">
        <f t="shared" si="12"/>
        <v>2056</v>
      </c>
      <c r="W19" s="1503">
        <f t="shared" si="12"/>
        <v>2057</v>
      </c>
      <c r="X19" s="1503">
        <f t="shared" si="12"/>
        <v>2058</v>
      </c>
      <c r="Y19" s="1503">
        <f t="shared" si="12"/>
        <v>2059</v>
      </c>
      <c r="Z19" s="1503">
        <f t="shared" si="12"/>
        <v>2060</v>
      </c>
      <c r="AA19" s="1503">
        <f t="shared" si="12"/>
        <v>2061</v>
      </c>
      <c r="AB19" s="1503">
        <f t="shared" si="12"/>
        <v>2062</v>
      </c>
      <c r="AC19" s="1505">
        <f t="shared" si="12"/>
        <v>2063</v>
      </c>
    </row>
    <row r="20" spans="1:29" ht="13.5" thickBot="1">
      <c r="A20" s="106"/>
      <c r="B20" s="954" t="s">
        <v>19</v>
      </c>
      <c r="C20" s="955" t="str">
        <f>C3</f>
        <v>Stálé ceny</v>
      </c>
      <c r="D20" s="952"/>
      <c r="E20" s="1514"/>
      <c r="F20" s="1504"/>
      <c r="G20" s="1504"/>
      <c r="H20" s="1504"/>
      <c r="I20" s="1504"/>
      <c r="J20" s="1504"/>
      <c r="K20" s="1504"/>
      <c r="L20" s="1504"/>
      <c r="M20" s="1504"/>
      <c r="N20" s="1504"/>
      <c r="O20" s="1504"/>
      <c r="P20" s="1504"/>
      <c r="Q20" s="1504"/>
      <c r="R20" s="1504"/>
      <c r="S20" s="1504"/>
      <c r="T20" s="1504"/>
      <c r="U20" s="1504"/>
      <c r="V20" s="1504"/>
      <c r="W20" s="1504"/>
      <c r="X20" s="1504"/>
      <c r="Y20" s="1504"/>
      <c r="Z20" s="1504"/>
      <c r="AA20" s="1504"/>
      <c r="AB20" s="1504"/>
      <c r="AC20" s="1506"/>
    </row>
    <row r="21" spans="1:29" ht="12">
      <c r="A21" s="106"/>
      <c r="B21" s="956"/>
      <c r="C21" s="961" t="str">
        <f>C4</f>
        <v>Příjmy</v>
      </c>
      <c r="D21" s="971"/>
      <c r="E21" s="1064"/>
      <c r="F21" s="1064"/>
      <c r="G21" s="1064"/>
      <c r="H21" s="1064"/>
      <c r="I21" s="1064"/>
      <c r="J21" s="1064"/>
      <c r="K21" s="1064"/>
      <c r="L21" s="1064"/>
      <c r="M21" s="1064"/>
      <c r="N21" s="1064"/>
      <c r="O21" s="1064"/>
      <c r="P21" s="1064"/>
      <c r="Q21" s="1064"/>
      <c r="R21" s="1064"/>
      <c r="S21" s="1064"/>
      <c r="T21" s="1064"/>
      <c r="U21" s="1064"/>
      <c r="V21" s="1064"/>
      <c r="W21" s="1064"/>
      <c r="X21" s="1064"/>
      <c r="Y21" s="1064"/>
      <c r="Z21" s="1064"/>
      <c r="AA21" s="1064"/>
      <c r="AB21" s="1064"/>
      <c r="AC21" s="1065"/>
    </row>
    <row r="22" spans="1:29" ht="12">
      <c r="A22" s="106"/>
      <c r="B22" s="956"/>
      <c r="C22" s="961" t="str">
        <f aca="true" t="shared" si="13" ref="C22:C34">C5</f>
        <v>Úvěry</v>
      </c>
      <c r="D22" s="971"/>
      <c r="E22" s="1064"/>
      <c r="F22" s="1064"/>
      <c r="G22" s="1064"/>
      <c r="H22" s="1064"/>
      <c r="I22" s="1064"/>
      <c r="J22" s="1064"/>
      <c r="K22" s="1064"/>
      <c r="L22" s="1064"/>
      <c r="M22" s="1064"/>
      <c r="N22" s="1064"/>
      <c r="O22" s="1064"/>
      <c r="P22" s="1064"/>
      <c r="Q22" s="1064"/>
      <c r="R22" s="1064"/>
      <c r="S22" s="1064"/>
      <c r="T22" s="1064"/>
      <c r="U22" s="1064"/>
      <c r="V22" s="1064"/>
      <c r="W22" s="1064"/>
      <c r="X22" s="1064"/>
      <c r="Y22" s="1064"/>
      <c r="Z22" s="1064"/>
      <c r="AA22" s="1064"/>
      <c r="AB22" s="1064"/>
      <c r="AC22" s="1065"/>
    </row>
    <row r="23" spans="1:29" ht="12">
      <c r="A23" s="106"/>
      <c r="B23" s="956"/>
      <c r="C23" s="961" t="str">
        <f t="shared" si="13"/>
        <v>Celkové zdroje žadatele</v>
      </c>
      <c r="D23" s="971"/>
      <c r="E23" s="1064"/>
      <c r="F23" s="1064"/>
      <c r="G23" s="1064"/>
      <c r="H23" s="1064"/>
      <c r="I23" s="1064"/>
      <c r="J23" s="1064"/>
      <c r="K23" s="1064"/>
      <c r="L23" s="1064"/>
      <c r="M23" s="1064"/>
      <c r="N23" s="1064"/>
      <c r="O23" s="1064"/>
      <c r="P23" s="1064"/>
      <c r="Q23" s="1064"/>
      <c r="R23" s="1064"/>
      <c r="S23" s="1064"/>
      <c r="T23" s="1064"/>
      <c r="U23" s="1064"/>
      <c r="V23" s="1064"/>
      <c r="W23" s="1064"/>
      <c r="X23" s="1064"/>
      <c r="Y23" s="1064"/>
      <c r="Z23" s="1064"/>
      <c r="AA23" s="1064"/>
      <c r="AB23" s="1064"/>
      <c r="AC23" s="1065"/>
    </row>
    <row r="24" spans="1:29" ht="12">
      <c r="A24" s="106"/>
      <c r="B24" s="956"/>
      <c r="C24" s="962" t="str">
        <f t="shared" si="13"/>
        <v>Zdroje státního rozpočtu</v>
      </c>
      <c r="D24" s="971"/>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5"/>
    </row>
    <row r="25" spans="1:29" ht="12">
      <c r="A25" s="106" t="s">
        <v>1</v>
      </c>
      <c r="B25" s="956"/>
      <c r="C25" s="963" t="str">
        <f t="shared" si="13"/>
        <v>Granty EU</v>
      </c>
      <c r="D25" s="972"/>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7"/>
    </row>
    <row r="26" spans="1:29" ht="12">
      <c r="A26" s="106"/>
      <c r="B26" s="956"/>
      <c r="C26" s="963" t="str">
        <f t="shared" si="13"/>
        <v>Dotace</v>
      </c>
      <c r="D26" s="972"/>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7"/>
    </row>
    <row r="27" spans="2:29" ht="12">
      <c r="B27" s="964"/>
      <c r="C27" s="965" t="str">
        <f t="shared" si="13"/>
        <v>Celkové příjmy</v>
      </c>
      <c r="D27" s="973"/>
      <c r="E27" s="916">
        <f>SUM(E21:E26)</f>
        <v>0</v>
      </c>
      <c r="F27" s="916">
        <f aca="true" t="shared" si="14" ref="F27:S27">SUM(F21:F26)</f>
        <v>0</v>
      </c>
      <c r="G27" s="916">
        <f t="shared" si="14"/>
        <v>0</v>
      </c>
      <c r="H27" s="916">
        <f t="shared" si="14"/>
        <v>0</v>
      </c>
      <c r="I27" s="916">
        <f t="shared" si="14"/>
        <v>0</v>
      </c>
      <c r="J27" s="916">
        <f t="shared" si="14"/>
        <v>0</v>
      </c>
      <c r="K27" s="916">
        <f t="shared" si="14"/>
        <v>0</v>
      </c>
      <c r="L27" s="916">
        <f t="shared" si="14"/>
        <v>0</v>
      </c>
      <c r="M27" s="916">
        <f t="shared" si="14"/>
        <v>0</v>
      </c>
      <c r="N27" s="916">
        <f t="shared" si="14"/>
        <v>0</v>
      </c>
      <c r="O27" s="916">
        <f t="shared" si="14"/>
        <v>0</v>
      </c>
      <c r="P27" s="916">
        <f t="shared" si="14"/>
        <v>0</v>
      </c>
      <c r="Q27" s="916">
        <f t="shared" si="14"/>
        <v>0</v>
      </c>
      <c r="R27" s="916">
        <f t="shared" si="14"/>
        <v>0</v>
      </c>
      <c r="S27" s="916">
        <f t="shared" si="14"/>
        <v>0</v>
      </c>
      <c r="T27" s="916">
        <f aca="true" t="shared" si="15" ref="T27:AC27">SUM(T21:T26)</f>
        <v>0</v>
      </c>
      <c r="U27" s="916">
        <f t="shared" si="15"/>
        <v>0</v>
      </c>
      <c r="V27" s="916">
        <f t="shared" si="15"/>
        <v>0</v>
      </c>
      <c r="W27" s="916">
        <f t="shared" si="15"/>
        <v>0</v>
      </c>
      <c r="X27" s="916">
        <f t="shared" si="15"/>
        <v>0</v>
      </c>
      <c r="Y27" s="916">
        <f t="shared" si="15"/>
        <v>0</v>
      </c>
      <c r="Z27" s="916">
        <f t="shared" si="15"/>
        <v>0</v>
      </c>
      <c r="AA27" s="916">
        <f t="shared" si="15"/>
        <v>0</v>
      </c>
      <c r="AB27" s="916">
        <f t="shared" si="15"/>
        <v>0</v>
      </c>
      <c r="AC27" s="920">
        <f t="shared" si="15"/>
        <v>0</v>
      </c>
    </row>
    <row r="28" spans="1:29" ht="12">
      <c r="A28" s="106"/>
      <c r="B28" s="958"/>
      <c r="C28" s="966" t="str">
        <f t="shared" si="13"/>
        <v>Celkové provozní náklady</v>
      </c>
      <c r="D28" s="974"/>
      <c r="E28" s="917">
        <f>'10b Finanční analýza'!E18</f>
        <v>0</v>
      </c>
      <c r="F28" s="917">
        <f>'10b Finanční analýza'!F18</f>
        <v>0</v>
      </c>
      <c r="G28" s="917">
        <f>'10b Finanční analýza'!G18</f>
        <v>0</v>
      </c>
      <c r="H28" s="917">
        <f>'10b Finanční analýza'!H18</f>
        <v>0</v>
      </c>
      <c r="I28" s="917">
        <f>'10b Finanční analýza'!I18</f>
        <v>0</v>
      </c>
      <c r="J28" s="917">
        <f>'10b Finanční analýza'!J18</f>
        <v>0</v>
      </c>
      <c r="K28" s="917">
        <f>'10b Finanční analýza'!K18</f>
        <v>0</v>
      </c>
      <c r="L28" s="917">
        <f>'10b Finanční analýza'!L18</f>
        <v>0</v>
      </c>
      <c r="M28" s="917">
        <f>'10b Finanční analýza'!M18</f>
        <v>0</v>
      </c>
      <c r="N28" s="917">
        <f>'10b Finanční analýza'!N18</f>
        <v>0</v>
      </c>
      <c r="O28" s="917">
        <f>'10b Finanční analýza'!O18</f>
        <v>0</v>
      </c>
      <c r="P28" s="917">
        <f>'10b Finanční analýza'!P18</f>
        <v>0</v>
      </c>
      <c r="Q28" s="917">
        <f>'10b Finanční analýza'!Q18</f>
        <v>0</v>
      </c>
      <c r="R28" s="917">
        <f>'10b Finanční analýza'!R18</f>
        <v>0</v>
      </c>
      <c r="S28" s="917">
        <f>'10b Finanční analýza'!S18</f>
        <v>0</v>
      </c>
      <c r="T28" s="917">
        <f>'10b Finanční analýza'!T18</f>
        <v>0</v>
      </c>
      <c r="U28" s="917">
        <f>'10b Finanční analýza'!U18</f>
        <v>0</v>
      </c>
      <c r="V28" s="917">
        <f>'10b Finanční analýza'!V18</f>
        <v>0</v>
      </c>
      <c r="W28" s="917">
        <f>'10b Finanční analýza'!W18</f>
        <v>0</v>
      </c>
      <c r="X28" s="917">
        <f>'10b Finanční analýza'!X18</f>
        <v>0</v>
      </c>
      <c r="Y28" s="917">
        <f>'10b Finanční analýza'!Y18</f>
        <v>0</v>
      </c>
      <c r="Z28" s="917">
        <f>'10b Finanční analýza'!Z18</f>
        <v>0</v>
      </c>
      <c r="AA28" s="917">
        <f>'10b Finanční analýza'!AA18</f>
        <v>0</v>
      </c>
      <c r="AB28" s="917">
        <f>'10b Finanční analýza'!AB18</f>
        <v>0</v>
      </c>
      <c r="AC28" s="921">
        <f>'10b Finanční analýza'!AC18</f>
        <v>0</v>
      </c>
    </row>
    <row r="29" spans="1:29" ht="12">
      <c r="A29" s="106"/>
      <c r="B29" s="956"/>
      <c r="C29" s="967" t="str">
        <f t="shared" si="13"/>
        <v>Celkové investiční náklady</v>
      </c>
      <c r="D29" s="972"/>
      <c r="E29" s="71">
        <f>'10b Finanční analýza'!E19</f>
        <v>0</v>
      </c>
      <c r="F29" s="71">
        <f>'10b Finanční analýza'!F19</f>
        <v>0</v>
      </c>
      <c r="G29" s="71">
        <f>'10b Finanční analýza'!G19</f>
        <v>0</v>
      </c>
      <c r="H29" s="71">
        <f>'10b Finanční analýza'!H19</f>
        <v>0</v>
      </c>
      <c r="I29" s="71">
        <f>'10b Finanční analýza'!I19</f>
        <v>0</v>
      </c>
      <c r="J29" s="71">
        <f>'10b Finanční analýza'!J19</f>
        <v>0</v>
      </c>
      <c r="K29" s="71">
        <f>'10b Finanční analýza'!K19</f>
        <v>0</v>
      </c>
      <c r="L29" s="71">
        <f>'10b Finanční analýza'!L19</f>
        <v>0</v>
      </c>
      <c r="M29" s="71">
        <f>'10b Finanční analýza'!M19</f>
        <v>0</v>
      </c>
      <c r="N29" s="71">
        <f>'10b Finanční analýza'!N19</f>
        <v>0</v>
      </c>
      <c r="O29" s="71">
        <f>'10b Finanční analýza'!O19</f>
        <v>0</v>
      </c>
      <c r="P29" s="71">
        <f>'10b Finanční analýza'!P19</f>
        <v>0</v>
      </c>
      <c r="Q29" s="71">
        <f>'10b Finanční analýza'!Q19</f>
        <v>0</v>
      </c>
      <c r="R29" s="71">
        <f>'10b Finanční analýza'!R19</f>
        <v>0</v>
      </c>
      <c r="S29" s="71">
        <f>'10b Finanční analýza'!S19</f>
        <v>0</v>
      </c>
      <c r="T29" s="71">
        <f>'10b Finanční analýza'!T19</f>
        <v>0</v>
      </c>
      <c r="U29" s="71">
        <f>'10b Finanční analýza'!U19</f>
        <v>0</v>
      </c>
      <c r="V29" s="71">
        <f>'10b Finanční analýza'!V19</f>
        <v>0</v>
      </c>
      <c r="W29" s="71">
        <f>'10b Finanční analýza'!W19</f>
        <v>0</v>
      </c>
      <c r="X29" s="71">
        <f>'10b Finanční analýza'!X19</f>
        <v>0</v>
      </c>
      <c r="Y29" s="71">
        <f>'10b Finanční analýza'!Y19</f>
        <v>0</v>
      </c>
      <c r="Z29" s="71">
        <f>'10b Finanční analýza'!Z19</f>
        <v>0</v>
      </c>
      <c r="AA29" s="71">
        <f>'10b Finanční analýza'!AA19</f>
        <v>0</v>
      </c>
      <c r="AB29" s="71">
        <f>'10b Finanční analýza'!AB19</f>
        <v>0</v>
      </c>
      <c r="AC29" s="919">
        <f>'10b Finanční analýza'!AC19</f>
        <v>0</v>
      </c>
    </row>
    <row r="30" spans="1:29" ht="12">
      <c r="A30" s="106"/>
      <c r="B30" s="956"/>
      <c r="C30" s="968" t="str">
        <f t="shared" si="13"/>
        <v>Splácení jistiny úvěru</v>
      </c>
      <c r="D30" s="972"/>
      <c r="E30" s="1066"/>
      <c r="F30" s="1066"/>
      <c r="G30" s="1066"/>
      <c r="H30" s="1066"/>
      <c r="I30" s="1066"/>
      <c r="J30" s="1066"/>
      <c r="K30" s="1066"/>
      <c r="L30" s="1066"/>
      <c r="M30" s="1066"/>
      <c r="N30" s="1066"/>
      <c r="O30" s="1066"/>
      <c r="P30" s="1066"/>
      <c r="Q30" s="1066"/>
      <c r="R30" s="1066"/>
      <c r="S30" s="1066"/>
      <c r="T30" s="1066"/>
      <c r="U30" s="1066"/>
      <c r="V30" s="1066"/>
      <c r="W30" s="1066"/>
      <c r="X30" s="1066"/>
      <c r="Y30" s="1066"/>
      <c r="Z30" s="1066"/>
      <c r="AA30" s="1066"/>
      <c r="AB30" s="1066"/>
      <c r="AC30" s="1067"/>
    </row>
    <row r="31" spans="1:29" ht="11.25" customHeight="1">
      <c r="A31" s="106"/>
      <c r="B31" s="956"/>
      <c r="C31" s="968" t="str">
        <f t="shared" si="13"/>
        <v>Splácení úroků z úvěru</v>
      </c>
      <c r="D31" s="972"/>
      <c r="E31" s="1066"/>
      <c r="F31" s="1066"/>
      <c r="G31" s="1066"/>
      <c r="H31" s="1066"/>
      <c r="I31" s="1066"/>
      <c r="J31" s="1066"/>
      <c r="K31" s="1066"/>
      <c r="L31" s="1066"/>
      <c r="M31" s="1066"/>
      <c r="N31" s="1066"/>
      <c r="O31" s="1066"/>
      <c r="P31" s="1066"/>
      <c r="Q31" s="1066"/>
      <c r="R31" s="1066"/>
      <c r="S31" s="1066"/>
      <c r="T31" s="1066"/>
      <c r="U31" s="1066"/>
      <c r="V31" s="1066"/>
      <c r="W31" s="1066"/>
      <c r="X31" s="1066"/>
      <c r="Y31" s="1066"/>
      <c r="Z31" s="1066"/>
      <c r="AA31" s="1066"/>
      <c r="AB31" s="1066"/>
      <c r="AC31" s="1067"/>
    </row>
    <row r="32" spans="2:29" ht="12">
      <c r="B32" s="959"/>
      <c r="C32" s="969" t="str">
        <f t="shared" si="13"/>
        <v>Celkové výdaje</v>
      </c>
      <c r="D32" s="975"/>
      <c r="E32" s="918">
        <f>SUM(E28:E31)</f>
        <v>0</v>
      </c>
      <c r="F32" s="918">
        <f aca="true" t="shared" si="16" ref="F32:S32">SUM(F28:F31)</f>
        <v>0</v>
      </c>
      <c r="G32" s="918">
        <f t="shared" si="16"/>
        <v>0</v>
      </c>
      <c r="H32" s="918">
        <f t="shared" si="16"/>
        <v>0</v>
      </c>
      <c r="I32" s="918">
        <f t="shared" si="16"/>
        <v>0</v>
      </c>
      <c r="J32" s="918">
        <f t="shared" si="16"/>
        <v>0</v>
      </c>
      <c r="K32" s="918">
        <f t="shared" si="16"/>
        <v>0</v>
      </c>
      <c r="L32" s="918">
        <f t="shared" si="16"/>
        <v>0</v>
      </c>
      <c r="M32" s="918">
        <f t="shared" si="16"/>
        <v>0</v>
      </c>
      <c r="N32" s="918">
        <f t="shared" si="16"/>
        <v>0</v>
      </c>
      <c r="O32" s="918">
        <f t="shared" si="16"/>
        <v>0</v>
      </c>
      <c r="P32" s="918">
        <f t="shared" si="16"/>
        <v>0</v>
      </c>
      <c r="Q32" s="918">
        <f t="shared" si="16"/>
        <v>0</v>
      </c>
      <c r="R32" s="918">
        <f t="shared" si="16"/>
        <v>0</v>
      </c>
      <c r="S32" s="918">
        <f t="shared" si="16"/>
        <v>0</v>
      </c>
      <c r="T32" s="918">
        <f aca="true" t="shared" si="17" ref="T32:AC32">SUM(T28:T31)</f>
        <v>0</v>
      </c>
      <c r="U32" s="918">
        <f t="shared" si="17"/>
        <v>0</v>
      </c>
      <c r="V32" s="918">
        <f t="shared" si="17"/>
        <v>0</v>
      </c>
      <c r="W32" s="918">
        <f t="shared" si="17"/>
        <v>0</v>
      </c>
      <c r="X32" s="918">
        <f t="shared" si="17"/>
        <v>0</v>
      </c>
      <c r="Y32" s="918">
        <f t="shared" si="17"/>
        <v>0</v>
      </c>
      <c r="Z32" s="918">
        <f t="shared" si="17"/>
        <v>0</v>
      </c>
      <c r="AA32" s="918">
        <f t="shared" si="17"/>
        <v>0</v>
      </c>
      <c r="AB32" s="918">
        <f t="shared" si="17"/>
        <v>0</v>
      </c>
      <c r="AC32" s="922">
        <f t="shared" si="17"/>
        <v>0</v>
      </c>
    </row>
    <row r="33" spans="2:29" ht="12">
      <c r="B33" s="957"/>
      <c r="C33" s="965" t="str">
        <f t="shared" si="13"/>
        <v>Cash Flow pro příslušný rok</v>
      </c>
      <c r="D33" s="973"/>
      <c r="E33" s="108">
        <f aca="true" t="shared" si="18" ref="E33:S33">E27-E32</f>
        <v>0</v>
      </c>
      <c r="F33" s="108">
        <f t="shared" si="18"/>
        <v>0</v>
      </c>
      <c r="G33" s="108">
        <f t="shared" si="18"/>
        <v>0</v>
      </c>
      <c r="H33" s="108">
        <f t="shared" si="18"/>
        <v>0</v>
      </c>
      <c r="I33" s="108">
        <f t="shared" si="18"/>
        <v>0</v>
      </c>
      <c r="J33" s="108">
        <f t="shared" si="18"/>
        <v>0</v>
      </c>
      <c r="K33" s="108">
        <f t="shared" si="18"/>
        <v>0</v>
      </c>
      <c r="L33" s="108">
        <f t="shared" si="18"/>
        <v>0</v>
      </c>
      <c r="M33" s="108">
        <f t="shared" si="18"/>
        <v>0</v>
      </c>
      <c r="N33" s="108">
        <f t="shared" si="18"/>
        <v>0</v>
      </c>
      <c r="O33" s="108">
        <f t="shared" si="18"/>
        <v>0</v>
      </c>
      <c r="P33" s="108">
        <f t="shared" si="18"/>
        <v>0</v>
      </c>
      <c r="Q33" s="108">
        <f t="shared" si="18"/>
        <v>0</v>
      </c>
      <c r="R33" s="108">
        <f t="shared" si="18"/>
        <v>0</v>
      </c>
      <c r="S33" s="108">
        <f t="shared" si="18"/>
        <v>0</v>
      </c>
      <c r="T33" s="108">
        <f aca="true" t="shared" si="19" ref="T33:AC33">T27-T32</f>
        <v>0</v>
      </c>
      <c r="U33" s="108">
        <f t="shared" si="19"/>
        <v>0</v>
      </c>
      <c r="V33" s="108">
        <f t="shared" si="19"/>
        <v>0</v>
      </c>
      <c r="W33" s="108">
        <f t="shared" si="19"/>
        <v>0</v>
      </c>
      <c r="X33" s="108">
        <f t="shared" si="19"/>
        <v>0</v>
      </c>
      <c r="Y33" s="108">
        <f t="shared" si="19"/>
        <v>0</v>
      </c>
      <c r="Z33" s="108">
        <f t="shared" si="19"/>
        <v>0</v>
      </c>
      <c r="AA33" s="108">
        <f t="shared" si="19"/>
        <v>0</v>
      </c>
      <c r="AB33" s="108">
        <f t="shared" si="19"/>
        <v>0</v>
      </c>
      <c r="AC33" s="923">
        <f t="shared" si="19"/>
        <v>0</v>
      </c>
    </row>
    <row r="34" spans="2:29" ht="12.75" thickBot="1">
      <c r="B34" s="960"/>
      <c r="C34" s="970" t="str">
        <f t="shared" si="13"/>
        <v>Kumulované Cash Flow </v>
      </c>
      <c r="D34" s="976"/>
      <c r="E34" s="924">
        <f>E33+S17</f>
        <v>0</v>
      </c>
      <c r="F34" s="924">
        <f>F33+E34</f>
        <v>0</v>
      </c>
      <c r="G34" s="924">
        <f aca="true" t="shared" si="20" ref="G34:S34">G33+F34</f>
        <v>0</v>
      </c>
      <c r="H34" s="924">
        <f t="shared" si="20"/>
        <v>0</v>
      </c>
      <c r="I34" s="924">
        <f t="shared" si="20"/>
        <v>0</v>
      </c>
      <c r="J34" s="924">
        <f t="shared" si="20"/>
        <v>0</v>
      </c>
      <c r="K34" s="924">
        <f t="shared" si="20"/>
        <v>0</v>
      </c>
      <c r="L34" s="924">
        <f t="shared" si="20"/>
        <v>0</v>
      </c>
      <c r="M34" s="924">
        <f t="shared" si="20"/>
        <v>0</v>
      </c>
      <c r="N34" s="924">
        <f t="shared" si="20"/>
        <v>0</v>
      </c>
      <c r="O34" s="924">
        <f t="shared" si="20"/>
        <v>0</v>
      </c>
      <c r="P34" s="924">
        <f t="shared" si="20"/>
        <v>0</v>
      </c>
      <c r="Q34" s="924">
        <f t="shared" si="20"/>
        <v>0</v>
      </c>
      <c r="R34" s="924">
        <f t="shared" si="20"/>
        <v>0</v>
      </c>
      <c r="S34" s="924">
        <f t="shared" si="20"/>
        <v>0</v>
      </c>
      <c r="T34" s="924">
        <f aca="true" t="shared" si="21" ref="T34:AC34">T33+S34</f>
        <v>0</v>
      </c>
      <c r="U34" s="924">
        <f t="shared" si="21"/>
        <v>0</v>
      </c>
      <c r="V34" s="924">
        <f t="shared" si="21"/>
        <v>0</v>
      </c>
      <c r="W34" s="924">
        <f t="shared" si="21"/>
        <v>0</v>
      </c>
      <c r="X34" s="924">
        <f t="shared" si="21"/>
        <v>0</v>
      </c>
      <c r="Y34" s="924">
        <f t="shared" si="21"/>
        <v>0</v>
      </c>
      <c r="Z34" s="924">
        <f t="shared" si="21"/>
        <v>0</v>
      </c>
      <c r="AA34" s="924">
        <f t="shared" si="21"/>
        <v>0</v>
      </c>
      <c r="AB34" s="924">
        <f t="shared" si="21"/>
        <v>0</v>
      </c>
      <c r="AC34" s="925">
        <f t="shared" si="21"/>
        <v>0</v>
      </c>
    </row>
    <row r="35" ht="12" thickBot="1">
      <c r="B35" s="109"/>
    </row>
    <row r="36" spans="1:16" ht="11.25">
      <c r="A36" s="110"/>
      <c r="B36" s="1265" t="str">
        <f>IF('0 Úvod'!$M$3="English",Slovnik!D328,Slovnik!C328)</f>
        <v>Komentáře</v>
      </c>
      <c r="C36" s="1266"/>
      <c r="D36" s="1266"/>
      <c r="E36" s="1266"/>
      <c r="F36" s="1266"/>
      <c r="G36" s="1266"/>
      <c r="H36" s="1266"/>
      <c r="I36" s="1266"/>
      <c r="J36" s="1266"/>
      <c r="K36" s="1266"/>
      <c r="L36" s="1266"/>
      <c r="M36" s="1266"/>
      <c r="N36" s="1266"/>
      <c r="O36" s="1266"/>
      <c r="P36" s="1267"/>
    </row>
    <row r="37" spans="1:16" ht="12" thickBot="1">
      <c r="A37" s="110"/>
      <c r="B37" s="1268"/>
      <c r="C37" s="1269"/>
      <c r="D37" s="1269"/>
      <c r="E37" s="1269"/>
      <c r="F37" s="1269"/>
      <c r="G37" s="1269"/>
      <c r="H37" s="1269"/>
      <c r="I37" s="1269"/>
      <c r="J37" s="1269"/>
      <c r="K37" s="1269"/>
      <c r="L37" s="1269"/>
      <c r="M37" s="1269"/>
      <c r="N37" s="1269"/>
      <c r="O37" s="1269"/>
      <c r="P37" s="1270"/>
    </row>
    <row r="38" spans="1:16" ht="12.75">
      <c r="A38" s="110"/>
      <c r="B38" s="176"/>
      <c r="C38" s="177"/>
      <c r="D38" s="178"/>
      <c r="E38" s="178"/>
      <c r="F38" s="178"/>
      <c r="G38" s="179"/>
      <c r="H38" s="178"/>
      <c r="I38" s="178"/>
      <c r="J38" s="178"/>
      <c r="K38" s="178"/>
      <c r="L38" s="178"/>
      <c r="M38" s="178"/>
      <c r="N38" s="178"/>
      <c r="O38" s="178"/>
      <c r="P38" s="180"/>
    </row>
    <row r="39" spans="2:16" ht="13.5" thickBot="1">
      <c r="B39" s="1022"/>
      <c r="C39" s="1023"/>
      <c r="D39" s="182"/>
      <c r="E39" s="182"/>
      <c r="F39" s="182"/>
      <c r="G39" s="183"/>
      <c r="H39" s="182"/>
      <c r="I39" s="182"/>
      <c r="J39" s="182"/>
      <c r="K39" s="182"/>
      <c r="L39" s="182"/>
      <c r="M39" s="182"/>
      <c r="N39" s="182"/>
      <c r="O39" s="182"/>
      <c r="P39" s="184"/>
    </row>
    <row r="41" ht="11.25">
      <c r="I41" s="111"/>
    </row>
  </sheetData>
  <sheetProtection/>
  <mergeCells count="51">
    <mergeCell ref="E2:E3"/>
    <mergeCell ref="F2:F3"/>
    <mergeCell ref="G2:G3"/>
    <mergeCell ref="H2:H3"/>
    <mergeCell ref="I2:I3"/>
    <mergeCell ref="J2:J3"/>
    <mergeCell ref="K2:K3"/>
    <mergeCell ref="L2:L3"/>
    <mergeCell ref="M2:M3"/>
    <mergeCell ref="N2:N3"/>
    <mergeCell ref="E19:E20"/>
    <mergeCell ref="F19:F20"/>
    <mergeCell ref="G19:G20"/>
    <mergeCell ref="H19:H20"/>
    <mergeCell ref="I19:I20"/>
    <mergeCell ref="J19:J20"/>
    <mergeCell ref="K19:K20"/>
    <mergeCell ref="L19:L20"/>
    <mergeCell ref="M19:M20"/>
    <mergeCell ref="N19:N20"/>
    <mergeCell ref="O2:O3"/>
    <mergeCell ref="P2:P3"/>
    <mergeCell ref="Q2:Q3"/>
    <mergeCell ref="R2:R3"/>
    <mergeCell ref="S2:S3"/>
    <mergeCell ref="O19:O20"/>
    <mergeCell ref="P19:P20"/>
    <mergeCell ref="Q19:Q20"/>
    <mergeCell ref="R19:R20"/>
    <mergeCell ref="S19:S20"/>
    <mergeCell ref="X2:X3"/>
    <mergeCell ref="Y2:Y3"/>
    <mergeCell ref="Z2:Z3"/>
    <mergeCell ref="AA2:AA3"/>
    <mergeCell ref="AB2:AB3"/>
    <mergeCell ref="B36:P37"/>
    <mergeCell ref="AC19:AC20"/>
    <mergeCell ref="AC2:AC3"/>
    <mergeCell ref="T19:T20"/>
    <mergeCell ref="U19:U20"/>
    <mergeCell ref="V19:V20"/>
    <mergeCell ref="W19:W20"/>
    <mergeCell ref="X19:X20"/>
    <mergeCell ref="Y19:Y20"/>
    <mergeCell ref="Z19:Z20"/>
    <mergeCell ref="AA19:AA20"/>
    <mergeCell ref="T2:T3"/>
    <mergeCell ref="U2:U3"/>
    <mergeCell ref="V2:V3"/>
    <mergeCell ref="W2:W3"/>
    <mergeCell ref="AB19:AB20"/>
  </mergeCells>
  <conditionalFormatting sqref="F17:R17 AC17 F34:R34">
    <cfRule type="cellIs" priority="4" dxfId="0" operator="lessThan" stopIfTrue="1">
      <formula>0</formula>
    </cfRule>
  </conditionalFormatting>
  <conditionalFormatting sqref="E34">
    <cfRule type="cellIs" priority="5" dxfId="3" operator="lessThan" stopIfTrue="1">
      <formula>0</formula>
    </cfRule>
  </conditionalFormatting>
  <conditionalFormatting sqref="S17:AB17">
    <cfRule type="cellIs" priority="3" dxfId="0" operator="lessThan" stopIfTrue="1">
      <formula>0</formula>
    </cfRule>
  </conditionalFormatting>
  <conditionalFormatting sqref="S34:AB34">
    <cfRule type="cellIs" priority="2" dxfId="0" operator="lessThan" stopIfTrue="1">
      <formula>0</formula>
    </cfRule>
  </conditionalFormatting>
  <conditionalFormatting sqref="AC34">
    <cfRule type="cellIs" priority="1" dxfId="0" operator="lessThan" stopIfTrue="1">
      <formula>0</formula>
    </cfRule>
  </conditionalFormatting>
  <printOptions/>
  <pageMargins left="0.3937007874015748" right="0.15748031496062992" top="0.984251968503937" bottom="0.7874015748031497" header="0.3937007874015748" footer="0.3937007874015748"/>
  <pageSetup fitToHeight="0" fitToWidth="1" horizontalDpi="600" verticalDpi="600" orientation="landscape" paperSize="9" scale="39" r:id="rId2"/>
  <headerFooter alignWithMargins="0">
    <oddFooter>&amp;L&amp;A&amp;C25.2.2013</oddFooter>
  </headerFooter>
  <legacyDrawing r:id="rId1"/>
</worksheet>
</file>

<file path=xl/worksheets/sheet14.xml><?xml version="1.0" encoding="utf-8"?>
<worksheet xmlns="http://schemas.openxmlformats.org/spreadsheetml/2006/main" xmlns:r="http://schemas.openxmlformats.org/officeDocument/2006/relationships">
  <sheetPr codeName="List8"/>
  <dimension ref="B2:H349"/>
  <sheetViews>
    <sheetView view="pageBreakPreview" zoomScale="80" zoomScaleSheetLayoutView="80" zoomScalePageLayoutView="0" workbookViewId="0" topLeftCell="A1">
      <pane ySplit="2" topLeftCell="A3" activePane="bottomLeft" state="frozen"/>
      <selection pane="topLeft" activeCell="A1" sqref="A1"/>
      <selection pane="bottomLeft" activeCell="G13" sqref="G13"/>
    </sheetView>
  </sheetViews>
  <sheetFormatPr defaultColWidth="9.140625" defaultRowHeight="12.75"/>
  <cols>
    <col min="1" max="1" width="6.00390625" style="41" customWidth="1"/>
    <col min="2" max="2" width="9.140625" style="276" customWidth="1"/>
    <col min="3" max="3" width="59.57421875" style="277" customWidth="1"/>
    <col min="4" max="4" width="47.421875" style="41" customWidth="1"/>
    <col min="5" max="5" width="6.28125" style="41" customWidth="1"/>
    <col min="6" max="6" width="4.8515625" style="41" customWidth="1"/>
    <col min="7" max="7" width="3.140625" style="41" customWidth="1"/>
    <col min="8" max="8" width="34.421875" style="41" customWidth="1"/>
    <col min="9" max="16384" width="9.140625" style="41" customWidth="1"/>
  </cols>
  <sheetData>
    <row r="2" spans="2:6" ht="12.75">
      <c r="B2" s="276" t="s">
        <v>208</v>
      </c>
      <c r="C2" s="276" t="s">
        <v>209</v>
      </c>
      <c r="D2" s="276" t="s">
        <v>231</v>
      </c>
      <c r="E2" s="1082" t="s">
        <v>594</v>
      </c>
      <c r="F2" s="1081" t="s">
        <v>629</v>
      </c>
    </row>
    <row r="3" spans="2:4" ht="12.75">
      <c r="B3" s="276">
        <v>1</v>
      </c>
      <c r="C3" s="277" t="str">
        <f>"Verze "&amp;F2</f>
        <v>Verze 1.05</v>
      </c>
      <c r="D3" s="41" t="str">
        <f>"Version "&amp;F2</f>
        <v>Version 1.05</v>
      </c>
    </row>
    <row r="4" spans="2:4" ht="12.75">
      <c r="B4" s="276">
        <v>2</v>
      </c>
      <c r="C4" s="277" t="s">
        <v>230</v>
      </c>
      <c r="D4" s="41" t="s">
        <v>232</v>
      </c>
    </row>
    <row r="5" spans="2:8" ht="12.75">
      <c r="B5" s="276">
        <v>3</v>
      </c>
      <c r="C5" s="277" t="s">
        <v>87</v>
      </c>
      <c r="D5" s="41" t="s">
        <v>211</v>
      </c>
      <c r="H5" s="41" t="s">
        <v>229</v>
      </c>
    </row>
    <row r="6" spans="2:8" ht="12.75">
      <c r="B6" s="276">
        <v>4</v>
      </c>
      <c r="C6" s="277" t="s">
        <v>41</v>
      </c>
      <c r="D6" s="41" t="s">
        <v>210</v>
      </c>
      <c r="H6" s="279" t="s">
        <v>492</v>
      </c>
    </row>
    <row r="7" spans="2:4" ht="12.75">
      <c r="B7" s="276">
        <v>5</v>
      </c>
      <c r="C7" s="277" t="s">
        <v>228</v>
      </c>
      <c r="D7" s="41" t="s">
        <v>212</v>
      </c>
    </row>
    <row r="8" spans="2:4" ht="12.75" hidden="1">
      <c r="B8" s="276">
        <v>6</v>
      </c>
      <c r="C8" s="277" t="s">
        <v>202</v>
      </c>
      <c r="D8" s="41" t="s">
        <v>213</v>
      </c>
    </row>
    <row r="9" spans="2:4" ht="12.75">
      <c r="B9" s="276">
        <v>7</v>
      </c>
      <c r="C9" s="277" t="s">
        <v>201</v>
      </c>
      <c r="D9" s="41" t="s">
        <v>214</v>
      </c>
    </row>
    <row r="10" spans="2:4" ht="12.75">
      <c r="B10" s="276">
        <v>8</v>
      </c>
      <c r="C10" s="277" t="s">
        <v>223</v>
      </c>
      <c r="D10" s="41" t="s">
        <v>215</v>
      </c>
    </row>
    <row r="11" spans="2:4" ht="12.75">
      <c r="B11" s="276">
        <v>9</v>
      </c>
      <c r="C11" s="277" t="s">
        <v>224</v>
      </c>
      <c r="D11" s="41" t="s">
        <v>216</v>
      </c>
    </row>
    <row r="12" spans="2:4" ht="12.75">
      <c r="B12" s="276">
        <v>10</v>
      </c>
      <c r="C12" s="277" t="s">
        <v>226</v>
      </c>
      <c r="D12" s="41" t="s">
        <v>217</v>
      </c>
    </row>
    <row r="13" spans="2:4" ht="12.75">
      <c r="B13" s="276">
        <v>11</v>
      </c>
      <c r="C13" s="277" t="s">
        <v>126</v>
      </c>
      <c r="D13" s="41" t="s">
        <v>227</v>
      </c>
    </row>
    <row r="14" spans="2:4" ht="12.75">
      <c r="B14" s="276">
        <v>12</v>
      </c>
      <c r="C14" s="277" t="s">
        <v>225</v>
      </c>
      <c r="D14" s="41" t="s">
        <v>218</v>
      </c>
    </row>
    <row r="15" spans="2:4" ht="12.75">
      <c r="B15" s="276">
        <v>13</v>
      </c>
      <c r="C15" s="277" t="s">
        <v>220</v>
      </c>
      <c r="D15" s="41" t="s">
        <v>219</v>
      </c>
    </row>
    <row r="16" spans="2:4" ht="12.75">
      <c r="B16" s="276">
        <v>14</v>
      </c>
      <c r="C16" s="277" t="s">
        <v>174</v>
      </c>
      <c r="D16" s="41" t="s">
        <v>221</v>
      </c>
    </row>
    <row r="17" spans="2:4" ht="12.75">
      <c r="B17" s="276">
        <v>15</v>
      </c>
      <c r="C17" s="277" t="s">
        <v>175</v>
      </c>
      <c r="D17" s="41" t="s">
        <v>222</v>
      </c>
    </row>
    <row r="18" spans="2:4" ht="12.75">
      <c r="B18" s="276">
        <v>16</v>
      </c>
      <c r="C18" s="277" t="s">
        <v>169</v>
      </c>
      <c r="D18" s="41" t="s">
        <v>322</v>
      </c>
    </row>
    <row r="19" spans="2:4" ht="12.75">
      <c r="B19" s="276">
        <v>17</v>
      </c>
      <c r="C19" s="277" t="s">
        <v>168</v>
      </c>
      <c r="D19" s="41" t="s">
        <v>323</v>
      </c>
    </row>
    <row r="20" spans="2:4" ht="12.75">
      <c r="B20" s="276">
        <v>18</v>
      </c>
      <c r="C20" s="277" t="s">
        <v>316</v>
      </c>
      <c r="D20" s="41" t="s">
        <v>317</v>
      </c>
    </row>
    <row r="21" spans="2:4" ht="12.75">
      <c r="B21" s="276">
        <v>19</v>
      </c>
      <c r="C21" s="277" t="s">
        <v>312</v>
      </c>
      <c r="D21" s="41" t="s">
        <v>313</v>
      </c>
    </row>
    <row r="22" spans="2:4" ht="12.75">
      <c r="B22" s="276">
        <v>20</v>
      </c>
      <c r="C22" s="277" t="s">
        <v>43</v>
      </c>
      <c r="D22" s="41" t="s">
        <v>245</v>
      </c>
    </row>
    <row r="23" spans="2:4" ht="12.75">
      <c r="B23" s="276">
        <v>21</v>
      </c>
      <c r="C23" s="277" t="s">
        <v>109</v>
      </c>
      <c r="D23" s="41" t="s">
        <v>242</v>
      </c>
    </row>
    <row r="24" spans="2:4" ht="12.75">
      <c r="B24" s="276">
        <v>22</v>
      </c>
      <c r="C24" s="277" t="s">
        <v>300</v>
      </c>
      <c r="D24" s="41" t="s">
        <v>303</v>
      </c>
    </row>
    <row r="25" spans="2:4" ht="12.75">
      <c r="B25" s="276">
        <v>23</v>
      </c>
      <c r="C25" s="277" t="s">
        <v>172</v>
      </c>
      <c r="D25" s="41" t="s">
        <v>243</v>
      </c>
    </row>
    <row r="26" spans="2:4" ht="12.75">
      <c r="B26" s="276">
        <v>24</v>
      </c>
      <c r="C26" s="277" t="s">
        <v>241</v>
      </c>
      <c r="D26" s="41" t="s">
        <v>244</v>
      </c>
    </row>
    <row r="27" spans="2:4" ht="12.75">
      <c r="B27" s="276">
        <v>25</v>
      </c>
      <c r="C27" s="277" t="s">
        <v>185</v>
      </c>
      <c r="D27" s="280" t="s">
        <v>246</v>
      </c>
    </row>
    <row r="28" spans="2:4" ht="12.75">
      <c r="B28" s="276">
        <v>26</v>
      </c>
      <c r="C28" s="277" t="s">
        <v>44</v>
      </c>
      <c r="D28" s="41" t="s">
        <v>325</v>
      </c>
    </row>
    <row r="29" spans="2:4" ht="12.75">
      <c r="B29" s="276">
        <v>27</v>
      </c>
      <c r="C29" s="277" t="s">
        <v>295</v>
      </c>
      <c r="D29" s="41" t="s">
        <v>335</v>
      </c>
    </row>
    <row r="30" spans="2:4" ht="12.75">
      <c r="B30" s="276">
        <v>28</v>
      </c>
      <c r="C30" s="277" t="s">
        <v>170</v>
      </c>
      <c r="D30" s="41" t="s">
        <v>326</v>
      </c>
    </row>
    <row r="31" spans="2:4" ht="12.75">
      <c r="B31" s="276">
        <v>29</v>
      </c>
      <c r="C31" s="277" t="s">
        <v>309</v>
      </c>
      <c r="D31" s="41" t="s">
        <v>330</v>
      </c>
    </row>
    <row r="32" spans="2:4" ht="12.75">
      <c r="B32" s="276">
        <v>30</v>
      </c>
      <c r="C32" s="277" t="s">
        <v>296</v>
      </c>
      <c r="D32" s="41" t="s">
        <v>331</v>
      </c>
    </row>
    <row r="33" spans="2:4" ht="12.75">
      <c r="B33" s="276">
        <v>31</v>
      </c>
      <c r="C33" s="277" t="s">
        <v>75</v>
      </c>
      <c r="D33" s="41" t="s">
        <v>329</v>
      </c>
    </row>
    <row r="34" spans="2:4" ht="12.75">
      <c r="B34" s="276">
        <v>32</v>
      </c>
      <c r="C34" s="277" t="s">
        <v>149</v>
      </c>
      <c r="D34" s="41" t="s">
        <v>327</v>
      </c>
    </row>
    <row r="35" spans="2:4" ht="12.75">
      <c r="B35" s="276">
        <v>33</v>
      </c>
      <c r="C35" s="277" t="s">
        <v>45</v>
      </c>
      <c r="D35" s="280" t="s">
        <v>328</v>
      </c>
    </row>
    <row r="36" spans="2:4" ht="12.75">
      <c r="B36" s="276">
        <v>34</v>
      </c>
      <c r="C36" s="277" t="s">
        <v>46</v>
      </c>
      <c r="D36" s="280" t="s">
        <v>324</v>
      </c>
    </row>
    <row r="37" spans="2:4" ht="12.75">
      <c r="B37" s="276">
        <v>35</v>
      </c>
      <c r="C37" s="277" t="s">
        <v>171</v>
      </c>
      <c r="D37" s="280" t="s">
        <v>332</v>
      </c>
    </row>
    <row r="38" spans="2:4" ht="12.75">
      <c r="B38" s="276">
        <v>36</v>
      </c>
      <c r="C38" s="277" t="s">
        <v>173</v>
      </c>
      <c r="D38" s="280" t="s">
        <v>333</v>
      </c>
    </row>
    <row r="39" spans="2:4" ht="12.75">
      <c r="B39" s="276">
        <v>37</v>
      </c>
      <c r="C39" s="277" t="s">
        <v>95</v>
      </c>
      <c r="D39" s="280" t="s">
        <v>334</v>
      </c>
    </row>
    <row r="40" spans="2:4" ht="12.75">
      <c r="B40" s="276">
        <v>38</v>
      </c>
      <c r="C40" s="277" t="s">
        <v>47</v>
      </c>
      <c r="D40" s="41" t="s">
        <v>304</v>
      </c>
    </row>
    <row r="41" spans="2:4" ht="12.75">
      <c r="B41" s="276">
        <v>39</v>
      </c>
      <c r="C41" s="277" t="s">
        <v>318</v>
      </c>
      <c r="D41" s="41" t="s">
        <v>319</v>
      </c>
    </row>
    <row r="42" spans="2:4" ht="12.75">
      <c r="B42" s="276">
        <v>40</v>
      </c>
      <c r="C42" s="277" t="s">
        <v>305</v>
      </c>
      <c r="D42" s="41" t="s">
        <v>310</v>
      </c>
    </row>
    <row r="43" spans="2:4" ht="12.75">
      <c r="B43" s="276">
        <v>41</v>
      </c>
      <c r="C43" s="277" t="s">
        <v>306</v>
      </c>
      <c r="D43" s="41" t="s">
        <v>311</v>
      </c>
    </row>
    <row r="44" spans="2:4" ht="12.75">
      <c r="B44" s="276">
        <v>42</v>
      </c>
      <c r="C44" s="277" t="s">
        <v>307</v>
      </c>
      <c r="D44" s="41" t="s">
        <v>308</v>
      </c>
    </row>
    <row r="45" spans="2:4" ht="12.75">
      <c r="B45" s="276">
        <v>43</v>
      </c>
      <c r="C45" s="277" t="s">
        <v>314</v>
      </c>
      <c r="D45" s="41" t="s">
        <v>315</v>
      </c>
    </row>
    <row r="46" spans="2:4" ht="12.75">
      <c r="B46" s="276">
        <v>44</v>
      </c>
      <c r="C46" s="277" t="s">
        <v>320</v>
      </c>
      <c r="D46" s="41" t="s">
        <v>321</v>
      </c>
    </row>
    <row r="47" spans="2:4" ht="12.75">
      <c r="B47" s="276">
        <v>45</v>
      </c>
      <c r="C47" s="277" t="s">
        <v>301</v>
      </c>
      <c r="D47" s="280" t="s">
        <v>336</v>
      </c>
    </row>
    <row r="48" spans="2:4" ht="12.75">
      <c r="B48" s="276">
        <v>46</v>
      </c>
      <c r="C48" s="277" t="s">
        <v>302</v>
      </c>
      <c r="D48" s="280" t="s">
        <v>337</v>
      </c>
    </row>
    <row r="49" ht="12.75">
      <c r="B49" s="276">
        <v>47</v>
      </c>
    </row>
    <row r="50" spans="2:3" ht="12.75">
      <c r="B50" s="276">
        <v>48</v>
      </c>
      <c r="C50" s="982" t="s">
        <v>348</v>
      </c>
    </row>
    <row r="51" spans="2:4" ht="12.75">
      <c r="B51" s="276">
        <v>49</v>
      </c>
      <c r="C51" s="277" t="s">
        <v>204</v>
      </c>
      <c r="D51" s="41" t="s">
        <v>399</v>
      </c>
    </row>
    <row r="52" spans="2:4" ht="12.75">
      <c r="B52" s="276">
        <v>50</v>
      </c>
      <c r="C52" s="277" t="s">
        <v>146</v>
      </c>
      <c r="D52" s="41" t="s">
        <v>370</v>
      </c>
    </row>
    <row r="53" spans="2:4" ht="12.75">
      <c r="B53" s="276">
        <v>51</v>
      </c>
      <c r="C53" s="277" t="s">
        <v>494</v>
      </c>
      <c r="D53" s="41" t="s">
        <v>493</v>
      </c>
    </row>
    <row r="54" spans="2:4" ht="12.75">
      <c r="B54" s="276">
        <v>52</v>
      </c>
      <c r="C54" s="277" t="s">
        <v>51</v>
      </c>
      <c r="D54" s="41" t="s">
        <v>371</v>
      </c>
    </row>
    <row r="55" spans="2:4" ht="12.75">
      <c r="B55" s="276">
        <v>53</v>
      </c>
      <c r="C55" s="277" t="s">
        <v>127</v>
      </c>
      <c r="D55" s="41" t="s">
        <v>372</v>
      </c>
    </row>
    <row r="56" spans="2:4" ht="12.75">
      <c r="B56" s="276">
        <v>54</v>
      </c>
      <c r="C56" s="277" t="s">
        <v>52</v>
      </c>
      <c r="D56" s="41" t="s">
        <v>373</v>
      </c>
    </row>
    <row r="57" spans="2:4" ht="12.75">
      <c r="B57" s="276">
        <v>55</v>
      </c>
      <c r="C57" s="277" t="s">
        <v>54</v>
      </c>
      <c r="D57" s="41" t="s">
        <v>374</v>
      </c>
    </row>
    <row r="58" spans="2:4" ht="12.75">
      <c r="B58" s="276">
        <v>56</v>
      </c>
      <c r="C58" s="277" t="s">
        <v>128</v>
      </c>
      <c r="D58" s="41" t="s">
        <v>375</v>
      </c>
    </row>
    <row r="59" spans="2:4" ht="12.75">
      <c r="B59" s="276">
        <v>57</v>
      </c>
      <c r="C59" s="277" t="s">
        <v>94</v>
      </c>
      <c r="D59" s="41" t="s">
        <v>376</v>
      </c>
    </row>
    <row r="60" spans="2:4" ht="12.75">
      <c r="B60" s="276">
        <v>58</v>
      </c>
      <c r="C60" s="277" t="s">
        <v>95</v>
      </c>
      <c r="D60" s="41" t="s">
        <v>377</v>
      </c>
    </row>
    <row r="61" spans="2:4" ht="12.75">
      <c r="B61" s="276">
        <v>59</v>
      </c>
      <c r="C61" s="277" t="s">
        <v>96</v>
      </c>
      <c r="D61" s="41" t="s">
        <v>378</v>
      </c>
    </row>
    <row r="62" spans="2:4" ht="12.75">
      <c r="B62" s="276">
        <v>60</v>
      </c>
      <c r="C62" s="277" t="s">
        <v>394</v>
      </c>
      <c r="D62" s="280" t="s">
        <v>393</v>
      </c>
    </row>
    <row r="63" spans="2:4" ht="12.75">
      <c r="B63" s="276">
        <v>61</v>
      </c>
      <c r="C63" s="277" t="s">
        <v>147</v>
      </c>
      <c r="D63" s="41" t="s">
        <v>379</v>
      </c>
    </row>
    <row r="64" spans="2:4" ht="12.75">
      <c r="B64" s="276">
        <v>62</v>
      </c>
      <c r="C64" s="277" t="s">
        <v>49</v>
      </c>
      <c r="D64" s="41" t="s">
        <v>390</v>
      </c>
    </row>
    <row r="65" spans="2:4" ht="12.75">
      <c r="B65" s="276">
        <v>63</v>
      </c>
      <c r="C65" s="277" t="s">
        <v>60</v>
      </c>
      <c r="D65" s="41" t="s">
        <v>388</v>
      </c>
    </row>
    <row r="66" spans="2:4" ht="12.75">
      <c r="B66" s="276">
        <v>64</v>
      </c>
      <c r="C66" s="277" t="s">
        <v>59</v>
      </c>
      <c r="D66" s="41" t="s">
        <v>389</v>
      </c>
    </row>
    <row r="67" spans="2:4" ht="12.75">
      <c r="B67" s="276">
        <v>65</v>
      </c>
      <c r="C67" s="277" t="s">
        <v>185</v>
      </c>
      <c r="D67" s="41" t="s">
        <v>400</v>
      </c>
    </row>
    <row r="68" spans="2:4" ht="12.75">
      <c r="B68" s="276">
        <v>66</v>
      </c>
      <c r="C68" s="277" t="s">
        <v>89</v>
      </c>
      <c r="D68" s="41" t="s">
        <v>380</v>
      </c>
    </row>
    <row r="69" spans="2:4" ht="12.75">
      <c r="B69" s="276">
        <v>67</v>
      </c>
      <c r="C69" s="277" t="s">
        <v>88</v>
      </c>
      <c r="D69" s="41" t="s">
        <v>381</v>
      </c>
    </row>
    <row r="70" spans="2:4" ht="12.75">
      <c r="B70" s="276">
        <v>68</v>
      </c>
      <c r="C70" s="277" t="s">
        <v>51</v>
      </c>
      <c r="D70" s="41" t="s">
        <v>371</v>
      </c>
    </row>
    <row r="71" spans="2:4" ht="12.75">
      <c r="B71" s="276">
        <v>69</v>
      </c>
      <c r="C71" s="277" t="s">
        <v>53</v>
      </c>
      <c r="D71" s="41" t="s">
        <v>372</v>
      </c>
    </row>
    <row r="72" spans="2:4" ht="12.75">
      <c r="B72" s="276">
        <v>70</v>
      </c>
      <c r="C72" s="277" t="s">
        <v>52</v>
      </c>
      <c r="D72" s="41" t="s">
        <v>373</v>
      </c>
    </row>
    <row r="73" spans="2:4" ht="12.75">
      <c r="B73" s="276">
        <v>71</v>
      </c>
      <c r="C73" s="277" t="s">
        <v>54</v>
      </c>
      <c r="D73" s="41" t="s">
        <v>374</v>
      </c>
    </row>
    <row r="74" spans="2:4" ht="12.75">
      <c r="B74" s="276">
        <v>72</v>
      </c>
      <c r="C74" s="277" t="s">
        <v>95</v>
      </c>
      <c r="D74" s="41" t="s">
        <v>377</v>
      </c>
    </row>
    <row r="75" spans="2:4" ht="12.75">
      <c r="B75" s="276">
        <v>73</v>
      </c>
      <c r="C75" s="277" t="s">
        <v>55</v>
      </c>
      <c r="D75" s="41" t="s">
        <v>382</v>
      </c>
    </row>
    <row r="76" spans="2:4" ht="12.75">
      <c r="B76" s="276">
        <v>74</v>
      </c>
      <c r="C76" s="277" t="s">
        <v>56</v>
      </c>
      <c r="D76" s="41" t="s">
        <v>383</v>
      </c>
    </row>
    <row r="77" spans="2:4" ht="12.75">
      <c r="B77" s="276">
        <v>75</v>
      </c>
      <c r="C77" s="277" t="s">
        <v>57</v>
      </c>
      <c r="D77" s="41" t="s">
        <v>384</v>
      </c>
    </row>
    <row r="78" spans="2:4" ht="12.75">
      <c r="B78" s="276">
        <v>76</v>
      </c>
      <c r="C78" s="277" t="s">
        <v>58</v>
      </c>
      <c r="D78" s="41" t="s">
        <v>385</v>
      </c>
    </row>
    <row r="79" spans="2:4" ht="12.75">
      <c r="B79" s="276">
        <v>77</v>
      </c>
      <c r="C79" s="277" t="s">
        <v>90</v>
      </c>
      <c r="D79" s="41" t="s">
        <v>386</v>
      </c>
    </row>
    <row r="80" spans="2:4" ht="12.75">
      <c r="B80" s="276">
        <v>78</v>
      </c>
      <c r="C80" s="277" t="s">
        <v>394</v>
      </c>
      <c r="D80" s="41" t="s">
        <v>393</v>
      </c>
    </row>
    <row r="81" spans="2:4" ht="12.75">
      <c r="B81" s="276">
        <v>79</v>
      </c>
      <c r="C81" s="277" t="s">
        <v>91</v>
      </c>
      <c r="D81" s="41" t="s">
        <v>387</v>
      </c>
    </row>
    <row r="82" spans="2:4" ht="12.75">
      <c r="B82" s="276">
        <v>80</v>
      </c>
      <c r="C82" s="277" t="s">
        <v>50</v>
      </c>
      <c r="D82" s="41" t="s">
        <v>392</v>
      </c>
    </row>
    <row r="83" spans="2:3" ht="12.75">
      <c r="B83" s="276">
        <v>81</v>
      </c>
      <c r="C83" s="982" t="s">
        <v>346</v>
      </c>
    </row>
    <row r="84" spans="2:4" ht="12.75">
      <c r="B84" s="276">
        <v>82</v>
      </c>
      <c r="C84" s="277" t="s">
        <v>203</v>
      </c>
      <c r="D84" s="41" t="s">
        <v>391</v>
      </c>
    </row>
    <row r="85" spans="2:4" ht="12.75">
      <c r="B85" s="276">
        <v>83</v>
      </c>
      <c r="C85" s="277" t="s">
        <v>64</v>
      </c>
      <c r="D85" s="41" t="s">
        <v>179</v>
      </c>
    </row>
    <row r="86" spans="2:4" ht="12.75">
      <c r="B86" s="276">
        <v>84</v>
      </c>
      <c r="C86" s="277" t="s">
        <v>294</v>
      </c>
      <c r="D86" s="41" t="s">
        <v>355</v>
      </c>
    </row>
    <row r="87" spans="2:4" ht="12.75">
      <c r="B87" s="276">
        <v>85</v>
      </c>
      <c r="C87" s="277" t="s">
        <v>61</v>
      </c>
      <c r="D87" s="41" t="s">
        <v>356</v>
      </c>
    </row>
    <row r="88" spans="2:4" ht="12.75">
      <c r="B88" s="276">
        <v>86</v>
      </c>
      <c r="C88" s="277" t="s">
        <v>97</v>
      </c>
      <c r="D88" s="41" t="s">
        <v>350</v>
      </c>
    </row>
    <row r="89" spans="2:4" ht="12.75">
      <c r="B89" s="276">
        <v>87</v>
      </c>
      <c r="C89" s="277" t="s">
        <v>199</v>
      </c>
      <c r="D89" s="41" t="s">
        <v>362</v>
      </c>
    </row>
    <row r="90" spans="2:4" ht="12.75">
      <c r="B90" s="276">
        <v>88</v>
      </c>
      <c r="C90" s="277" t="s">
        <v>233</v>
      </c>
      <c r="D90" s="41" t="s">
        <v>361</v>
      </c>
    </row>
    <row r="91" spans="2:4" ht="12.75">
      <c r="B91" s="276">
        <v>89</v>
      </c>
      <c r="C91" s="277" t="s">
        <v>234</v>
      </c>
      <c r="D91" s="41" t="s">
        <v>360</v>
      </c>
    </row>
    <row r="92" spans="2:4" ht="12.75">
      <c r="B92" s="276">
        <v>90</v>
      </c>
      <c r="C92" s="277" t="s">
        <v>235</v>
      </c>
      <c r="D92" s="41" t="s">
        <v>359</v>
      </c>
    </row>
    <row r="93" spans="2:4" ht="12.75">
      <c r="B93" s="276">
        <v>91</v>
      </c>
      <c r="C93" s="277" t="s">
        <v>197</v>
      </c>
      <c r="D93" s="41" t="s">
        <v>358</v>
      </c>
    </row>
    <row r="94" spans="2:4" ht="12.75">
      <c r="B94" s="276">
        <v>92</v>
      </c>
      <c r="C94" s="277" t="s">
        <v>198</v>
      </c>
      <c r="D94" s="41" t="s">
        <v>365</v>
      </c>
    </row>
    <row r="95" spans="2:4" ht="12.75">
      <c r="B95" s="276">
        <v>93</v>
      </c>
      <c r="C95" s="277" t="s">
        <v>236</v>
      </c>
      <c r="D95" s="41" t="s">
        <v>363</v>
      </c>
    </row>
    <row r="96" spans="2:4" ht="12.75">
      <c r="B96" s="276">
        <v>94</v>
      </c>
      <c r="C96" s="277" t="s">
        <v>237</v>
      </c>
      <c r="D96" s="41" t="s">
        <v>364</v>
      </c>
    </row>
    <row r="97" spans="2:4" ht="12.75">
      <c r="B97" s="276">
        <v>95</v>
      </c>
      <c r="C97" s="277" t="s">
        <v>238</v>
      </c>
      <c r="D97" s="41" t="s">
        <v>366</v>
      </c>
    </row>
    <row r="98" spans="2:4" ht="12.75">
      <c r="B98" s="276">
        <v>96</v>
      </c>
      <c r="C98" s="277" t="s">
        <v>196</v>
      </c>
      <c r="D98" s="41" t="s">
        <v>367</v>
      </c>
    </row>
    <row r="99" spans="2:4" ht="12.75">
      <c r="B99" s="276">
        <v>97</v>
      </c>
      <c r="C99" s="277" t="s">
        <v>98</v>
      </c>
      <c r="D99" s="41" t="s">
        <v>357</v>
      </c>
    </row>
    <row r="100" spans="2:4" ht="12.75">
      <c r="B100" s="276">
        <v>98</v>
      </c>
      <c r="C100" s="277" t="s">
        <v>129</v>
      </c>
      <c r="D100" s="41" t="s">
        <v>372</v>
      </c>
    </row>
    <row r="101" spans="2:4" ht="12.75">
      <c r="B101" s="276">
        <v>99</v>
      </c>
      <c r="C101" s="277" t="s">
        <v>294</v>
      </c>
      <c r="D101" s="41" t="s">
        <v>355</v>
      </c>
    </row>
    <row r="102" spans="2:4" ht="12.75">
      <c r="B102" s="276">
        <v>100</v>
      </c>
      <c r="C102" s="277" t="s">
        <v>61</v>
      </c>
      <c r="D102" s="41" t="s">
        <v>356</v>
      </c>
    </row>
    <row r="103" spans="2:4" ht="12.75">
      <c r="B103" s="276">
        <v>101</v>
      </c>
      <c r="C103" s="277" t="s">
        <v>62</v>
      </c>
      <c r="D103" s="41" t="s">
        <v>354</v>
      </c>
    </row>
    <row r="104" spans="2:4" ht="12.75">
      <c r="B104" s="276">
        <v>102</v>
      </c>
      <c r="C104" s="277" t="s">
        <v>63</v>
      </c>
      <c r="D104" s="41" t="s">
        <v>352</v>
      </c>
    </row>
    <row r="105" spans="2:4" ht="12.75">
      <c r="B105" s="276">
        <v>103</v>
      </c>
      <c r="C105" s="277" t="s">
        <v>207</v>
      </c>
      <c r="D105" s="41" t="s">
        <v>351</v>
      </c>
    </row>
    <row r="106" spans="2:4" ht="12.75">
      <c r="B106" s="276">
        <v>104</v>
      </c>
      <c r="C106" s="277" t="s">
        <v>63</v>
      </c>
      <c r="D106" s="41" t="s">
        <v>352</v>
      </c>
    </row>
    <row r="107" spans="2:4" ht="12.75">
      <c r="B107" s="276">
        <v>105</v>
      </c>
      <c r="C107" s="277" t="s">
        <v>104</v>
      </c>
      <c r="D107" s="41" t="s">
        <v>353</v>
      </c>
    </row>
    <row r="108" spans="2:4" ht="12.75">
      <c r="B108" s="276">
        <v>106</v>
      </c>
      <c r="C108" s="277" t="s">
        <v>185</v>
      </c>
      <c r="D108" s="41" t="s">
        <v>397</v>
      </c>
    </row>
    <row r="109" spans="2:4" ht="12.75">
      <c r="B109" s="276">
        <v>107</v>
      </c>
      <c r="C109" s="277" t="s">
        <v>205</v>
      </c>
      <c r="D109" s="41" t="s">
        <v>398</v>
      </c>
    </row>
    <row r="110" spans="2:4" ht="12.75">
      <c r="B110" s="276">
        <v>108</v>
      </c>
      <c r="C110" s="277" t="s">
        <v>86</v>
      </c>
      <c r="D110" s="41" t="s">
        <v>395</v>
      </c>
    </row>
    <row r="111" spans="2:4" ht="12.75">
      <c r="B111" s="276">
        <v>109</v>
      </c>
      <c r="C111" s="277" t="s">
        <v>293</v>
      </c>
      <c r="D111" s="41" t="s">
        <v>396</v>
      </c>
    </row>
    <row r="112" spans="2:4" ht="12.75">
      <c r="B112" s="276">
        <v>110</v>
      </c>
      <c r="C112" s="277" t="s">
        <v>239</v>
      </c>
      <c r="D112" s="41" t="s">
        <v>368</v>
      </c>
    </row>
    <row r="113" spans="2:4" ht="12.75">
      <c r="B113" s="276">
        <v>111</v>
      </c>
      <c r="C113" s="277" t="s">
        <v>240</v>
      </c>
      <c r="D113" s="41" t="s">
        <v>369</v>
      </c>
    </row>
    <row r="114" spans="2:3" ht="12.75">
      <c r="B114" s="276">
        <v>112</v>
      </c>
      <c r="C114" s="982" t="s">
        <v>347</v>
      </c>
    </row>
    <row r="115" spans="2:4" ht="12.75">
      <c r="B115" s="276">
        <v>113</v>
      </c>
      <c r="C115" s="277" t="s">
        <v>153</v>
      </c>
      <c r="D115" s="41" t="s">
        <v>528</v>
      </c>
    </row>
    <row r="116" spans="2:4" ht="12.75">
      <c r="B116" s="276">
        <v>114</v>
      </c>
      <c r="C116" s="277" t="s">
        <v>65</v>
      </c>
      <c r="D116" s="41" t="s">
        <v>401</v>
      </c>
    </row>
    <row r="117" spans="2:4" ht="12.75">
      <c r="B117" s="276">
        <v>115</v>
      </c>
      <c r="C117" s="277" t="s">
        <v>93</v>
      </c>
      <c r="D117" s="41" t="s">
        <v>529</v>
      </c>
    </row>
    <row r="118" spans="3:4" ht="12.75">
      <c r="C118" s="277" t="s">
        <v>271</v>
      </c>
      <c r="D118" s="41" t="s">
        <v>545</v>
      </c>
    </row>
    <row r="119" spans="2:4" ht="12.75">
      <c r="B119" s="276">
        <v>116</v>
      </c>
      <c r="C119" s="277" t="s">
        <v>345</v>
      </c>
      <c r="D119" s="41" t="s">
        <v>402</v>
      </c>
    </row>
    <row r="120" spans="2:4" ht="12.75">
      <c r="B120" s="276">
        <v>117</v>
      </c>
      <c r="C120" s="277" t="s">
        <v>498</v>
      </c>
      <c r="D120" s="41" t="s">
        <v>543</v>
      </c>
    </row>
    <row r="121" spans="2:4" ht="12.75">
      <c r="B121" s="276">
        <v>118</v>
      </c>
      <c r="C121" s="277" t="s">
        <v>125</v>
      </c>
      <c r="D121" s="41" t="s">
        <v>544</v>
      </c>
    </row>
    <row r="122" spans="2:4" ht="12.75">
      <c r="B122" s="276">
        <v>119</v>
      </c>
      <c r="C122" s="277" t="s">
        <v>154</v>
      </c>
      <c r="D122" s="41" t="s">
        <v>530</v>
      </c>
    </row>
    <row r="123" spans="2:4" ht="12.75">
      <c r="B123" s="276">
        <v>120</v>
      </c>
      <c r="C123" s="277" t="s">
        <v>155</v>
      </c>
      <c r="D123" s="41" t="s">
        <v>531</v>
      </c>
    </row>
    <row r="124" spans="2:4" ht="12.75">
      <c r="B124" s="276">
        <v>121</v>
      </c>
      <c r="C124" s="277" t="s">
        <v>156</v>
      </c>
      <c r="D124" s="41" t="s">
        <v>532</v>
      </c>
    </row>
    <row r="125" spans="2:4" ht="12.75">
      <c r="B125" s="276">
        <v>122</v>
      </c>
      <c r="C125" s="277" t="s">
        <v>157</v>
      </c>
      <c r="D125" s="41" t="s">
        <v>533</v>
      </c>
    </row>
    <row r="126" spans="2:4" ht="12.75">
      <c r="B126" s="276">
        <v>123</v>
      </c>
      <c r="C126" s="277" t="s">
        <v>247</v>
      </c>
      <c r="D126" s="41" t="s">
        <v>534</v>
      </c>
    </row>
    <row r="127" spans="2:4" ht="12.75">
      <c r="B127" s="276">
        <v>124</v>
      </c>
      <c r="C127" s="277" t="s">
        <v>160</v>
      </c>
      <c r="D127" s="41" t="s">
        <v>535</v>
      </c>
    </row>
    <row r="128" spans="2:4" ht="12.75">
      <c r="B128" s="276">
        <v>125</v>
      </c>
      <c r="C128" s="277" t="s">
        <v>161</v>
      </c>
      <c r="D128" s="41" t="s">
        <v>536</v>
      </c>
    </row>
    <row r="129" spans="2:4" ht="12.75">
      <c r="B129" s="276">
        <v>126</v>
      </c>
      <c r="C129" s="277" t="s">
        <v>162</v>
      </c>
      <c r="D129" s="41" t="s">
        <v>537</v>
      </c>
    </row>
    <row r="130" spans="2:4" ht="12.75">
      <c r="B130" s="276">
        <v>127</v>
      </c>
      <c r="C130" s="277" t="s">
        <v>163</v>
      </c>
      <c r="D130" s="41" t="s">
        <v>538</v>
      </c>
    </row>
    <row r="131" spans="2:4" ht="12.75">
      <c r="B131" s="276">
        <v>128</v>
      </c>
      <c r="C131" s="277" t="s">
        <v>164</v>
      </c>
      <c r="D131" s="41" t="s">
        <v>539</v>
      </c>
    </row>
    <row r="132" spans="2:4" ht="12.75">
      <c r="B132" s="276">
        <v>129</v>
      </c>
      <c r="C132" s="277" t="s">
        <v>165</v>
      </c>
      <c r="D132" s="41" t="s">
        <v>540</v>
      </c>
    </row>
    <row r="133" spans="2:4" ht="12.75">
      <c r="B133" s="276">
        <v>130</v>
      </c>
      <c r="C133" s="277" t="s">
        <v>166</v>
      </c>
      <c r="D133" s="41" t="s">
        <v>541</v>
      </c>
    </row>
    <row r="134" spans="2:4" ht="12.75">
      <c r="B134" s="276">
        <v>131</v>
      </c>
      <c r="C134" s="277" t="s">
        <v>167</v>
      </c>
      <c r="D134" s="41" t="s">
        <v>542</v>
      </c>
    </row>
    <row r="135" spans="3:4" ht="12.75">
      <c r="C135" s="277" t="s">
        <v>546</v>
      </c>
      <c r="D135" s="41" t="s">
        <v>547</v>
      </c>
    </row>
    <row r="136" spans="3:4" ht="12.75">
      <c r="C136" s="277" t="s">
        <v>158</v>
      </c>
      <c r="D136" s="41" t="s">
        <v>550</v>
      </c>
    </row>
    <row r="137" spans="3:4" ht="12.75">
      <c r="C137" s="277" t="s">
        <v>159</v>
      </c>
      <c r="D137" s="41" t="s">
        <v>551</v>
      </c>
    </row>
    <row r="138" spans="2:4" ht="12.75">
      <c r="B138" s="276">
        <v>132</v>
      </c>
      <c r="C138" s="277" t="s">
        <v>64</v>
      </c>
      <c r="D138" s="41" t="s">
        <v>179</v>
      </c>
    </row>
    <row r="139" spans="2:4" ht="12.75">
      <c r="B139" s="276">
        <v>133</v>
      </c>
      <c r="C139" s="277" t="s">
        <v>50</v>
      </c>
      <c r="D139" s="41" t="s">
        <v>392</v>
      </c>
    </row>
    <row r="140" spans="2:3" ht="12.75">
      <c r="B140" s="276">
        <v>134</v>
      </c>
      <c r="C140" s="982" t="s">
        <v>349</v>
      </c>
    </row>
    <row r="141" spans="2:4" ht="12.75">
      <c r="B141" s="276">
        <v>135</v>
      </c>
      <c r="C141" s="277" t="s">
        <v>553</v>
      </c>
      <c r="D141" s="41" t="s">
        <v>554</v>
      </c>
    </row>
    <row r="142" spans="2:4" ht="12.75">
      <c r="B142" s="276">
        <v>136</v>
      </c>
      <c r="C142" s="277" t="s">
        <v>65</v>
      </c>
      <c r="D142" s="41" t="s">
        <v>401</v>
      </c>
    </row>
    <row r="143" spans="2:4" ht="12.75">
      <c r="B143" s="276">
        <v>137</v>
      </c>
      <c r="C143" s="277" t="s">
        <v>177</v>
      </c>
      <c r="D143" s="41" t="s">
        <v>552</v>
      </c>
    </row>
    <row r="144" spans="2:4" ht="12.75">
      <c r="B144" s="276">
        <v>138</v>
      </c>
      <c r="C144" s="277" t="s">
        <v>80</v>
      </c>
      <c r="D144" s="41" t="s">
        <v>557</v>
      </c>
    </row>
    <row r="145" spans="2:4" ht="12.75">
      <c r="B145" s="276">
        <v>139</v>
      </c>
      <c r="C145" s="277" t="s">
        <v>553</v>
      </c>
      <c r="D145" s="41" t="s">
        <v>556</v>
      </c>
    </row>
    <row r="146" spans="2:4" ht="12.75">
      <c r="B146" s="276">
        <v>140</v>
      </c>
      <c r="C146" s="277" t="s">
        <v>67</v>
      </c>
      <c r="D146" s="41" t="s">
        <v>402</v>
      </c>
    </row>
    <row r="147" spans="2:4" ht="12.75">
      <c r="B147" s="276">
        <v>141</v>
      </c>
      <c r="C147" s="277" t="s">
        <v>176</v>
      </c>
      <c r="D147" s="41" t="s">
        <v>423</v>
      </c>
    </row>
    <row r="148" spans="2:4" ht="12.75">
      <c r="B148" s="276">
        <v>142</v>
      </c>
      <c r="C148" s="277" t="s">
        <v>191</v>
      </c>
      <c r="D148" s="41" t="s">
        <v>555</v>
      </c>
    </row>
    <row r="149" spans="3:4" ht="12.75">
      <c r="C149" s="277" t="s">
        <v>64</v>
      </c>
      <c r="D149" s="41" t="s">
        <v>179</v>
      </c>
    </row>
    <row r="150" spans="2:4" ht="12.75">
      <c r="B150" s="276">
        <v>143</v>
      </c>
      <c r="C150" s="277" t="s">
        <v>50</v>
      </c>
      <c r="D150" s="41" t="s">
        <v>392</v>
      </c>
    </row>
    <row r="151" spans="2:3" ht="12.75">
      <c r="B151" s="276">
        <v>144</v>
      </c>
      <c r="C151" s="982" t="s">
        <v>488</v>
      </c>
    </row>
    <row r="152" spans="2:4" ht="12.75">
      <c r="B152" s="276">
        <v>145</v>
      </c>
      <c r="C152" s="1008" t="s">
        <v>592</v>
      </c>
      <c r="D152" s="1009" t="s">
        <v>593</v>
      </c>
    </row>
    <row r="153" spans="2:4" ht="12.75">
      <c r="B153" s="276">
        <v>146</v>
      </c>
      <c r="C153" s="277" t="s">
        <v>131</v>
      </c>
      <c r="D153" s="41" t="s">
        <v>558</v>
      </c>
    </row>
    <row r="154" spans="2:4" ht="12.75">
      <c r="B154" s="276">
        <v>147</v>
      </c>
      <c r="C154" s="277" t="s">
        <v>132</v>
      </c>
      <c r="D154" s="41" t="s">
        <v>559</v>
      </c>
    </row>
    <row r="155" spans="2:4" ht="12.75">
      <c r="B155" s="276">
        <v>148</v>
      </c>
      <c r="C155" s="277" t="s">
        <v>578</v>
      </c>
      <c r="D155" s="41" t="s">
        <v>579</v>
      </c>
    </row>
    <row r="156" spans="2:4" ht="12.75">
      <c r="B156" s="276">
        <v>149</v>
      </c>
      <c r="C156" s="277" t="s">
        <v>68</v>
      </c>
      <c r="D156" s="41" t="s">
        <v>558</v>
      </c>
    </row>
    <row r="157" spans="2:4" ht="12.75">
      <c r="B157" s="276">
        <v>150</v>
      </c>
      <c r="C157" s="277" t="s">
        <v>251</v>
      </c>
      <c r="D157" s="41" t="s">
        <v>575</v>
      </c>
    </row>
    <row r="158" spans="2:4" ht="12.75">
      <c r="B158" s="276">
        <v>151</v>
      </c>
      <c r="C158" s="277" t="str">
        <f>"Měrná hodnota v CÚ "&amp;'0 Úvod'!$G$16</f>
        <v>Měrná hodnota v CÚ 2014</v>
      </c>
      <c r="D158" s="41" t="str">
        <f>"Specific values in price level "&amp;'0 Úvod'!$G$16</f>
        <v>Specific values in price level 2014</v>
      </c>
    </row>
    <row r="159" spans="2:4" ht="12.75">
      <c r="B159" s="276">
        <v>152</v>
      </c>
      <c r="C159" s="277" t="s">
        <v>136</v>
      </c>
      <c r="D159" s="41" t="s">
        <v>559</v>
      </c>
    </row>
    <row r="160" spans="2:4" ht="12.75">
      <c r="B160" s="276">
        <v>153</v>
      </c>
      <c r="C160" s="277" t="s">
        <v>223</v>
      </c>
      <c r="D160" s="41" t="s">
        <v>215</v>
      </c>
    </row>
    <row r="161" spans="2:4" ht="12.75">
      <c r="B161" s="276">
        <v>154</v>
      </c>
      <c r="C161" s="277" t="s">
        <v>490</v>
      </c>
      <c r="D161" s="41" t="s">
        <v>580</v>
      </c>
    </row>
    <row r="162" spans="2:4" ht="12.75">
      <c r="B162" s="276">
        <v>155</v>
      </c>
      <c r="C162" s="277" t="s">
        <v>110</v>
      </c>
      <c r="D162" s="41" t="s">
        <v>560</v>
      </c>
    </row>
    <row r="163" spans="2:4" ht="12.75">
      <c r="B163" s="276">
        <v>156</v>
      </c>
      <c r="C163" s="277" t="s">
        <v>111</v>
      </c>
      <c r="D163" s="41" t="s">
        <v>561</v>
      </c>
    </row>
    <row r="164" spans="2:4" ht="12.75">
      <c r="B164" s="276">
        <v>157</v>
      </c>
      <c r="C164" s="277" t="s">
        <v>252</v>
      </c>
      <c r="D164" s="41" t="s">
        <v>562</v>
      </c>
    </row>
    <row r="165" spans="2:4" ht="12.75">
      <c r="B165" s="276">
        <v>158</v>
      </c>
      <c r="C165" s="277" t="s">
        <v>65</v>
      </c>
      <c r="D165" s="41" t="s">
        <v>401</v>
      </c>
    </row>
    <row r="166" spans="2:4" ht="12.75">
      <c r="B166" s="276">
        <v>159</v>
      </c>
      <c r="C166" s="277" t="s">
        <v>254</v>
      </c>
      <c r="D166" s="41" t="s">
        <v>474</v>
      </c>
    </row>
    <row r="167" spans="2:4" ht="12.75">
      <c r="B167" s="276">
        <v>160</v>
      </c>
      <c r="C167" s="277" t="s">
        <v>257</v>
      </c>
      <c r="D167" s="41" t="s">
        <v>475</v>
      </c>
    </row>
    <row r="168" spans="2:4" ht="12.75">
      <c r="B168" s="276">
        <v>161</v>
      </c>
      <c r="C168" s="277" t="s">
        <v>248</v>
      </c>
      <c r="D168" s="41" t="s">
        <v>576</v>
      </c>
    </row>
    <row r="169" spans="2:4" ht="12.75">
      <c r="B169" s="276">
        <v>162</v>
      </c>
      <c r="C169" s="277" t="s">
        <v>67</v>
      </c>
      <c r="D169" s="41" t="s">
        <v>402</v>
      </c>
    </row>
    <row r="170" spans="2:4" ht="12.75">
      <c r="B170" s="276">
        <v>163</v>
      </c>
      <c r="C170" s="277" t="s">
        <v>249</v>
      </c>
      <c r="D170" s="41" t="s">
        <v>563</v>
      </c>
    </row>
    <row r="171" spans="2:4" ht="12.75">
      <c r="B171" s="276">
        <v>164</v>
      </c>
      <c r="C171" s="277" t="s">
        <v>250</v>
      </c>
      <c r="D171" s="41" t="s">
        <v>577</v>
      </c>
    </row>
    <row r="172" spans="2:4" ht="12.75">
      <c r="B172" s="276">
        <v>165</v>
      </c>
      <c r="C172" s="277" t="s">
        <v>135</v>
      </c>
      <c r="D172" s="41" t="s">
        <v>581</v>
      </c>
    </row>
    <row r="173" spans="2:4" ht="12.75">
      <c r="B173" s="276">
        <v>166</v>
      </c>
      <c r="C173" s="277" t="s">
        <v>50</v>
      </c>
      <c r="D173" s="41" t="s">
        <v>392</v>
      </c>
    </row>
    <row r="174" spans="2:3" ht="12.75">
      <c r="B174" s="276">
        <v>167</v>
      </c>
      <c r="C174" s="982" t="s">
        <v>489</v>
      </c>
    </row>
    <row r="175" spans="2:4" ht="12.75">
      <c r="B175" s="276">
        <v>168</v>
      </c>
      <c r="C175" s="1008" t="s">
        <v>564</v>
      </c>
      <c r="D175" s="1009" t="s">
        <v>573</v>
      </c>
    </row>
    <row r="176" spans="2:4" ht="12.75">
      <c r="B176" s="276">
        <v>169</v>
      </c>
      <c r="C176" s="277" t="s">
        <v>65</v>
      </c>
      <c r="D176" s="41" t="s">
        <v>401</v>
      </c>
    </row>
    <row r="177" spans="2:4" ht="12.75">
      <c r="B177" s="276">
        <v>170</v>
      </c>
      <c r="C177" s="277" t="s">
        <v>133</v>
      </c>
      <c r="D177" s="41" t="s">
        <v>565</v>
      </c>
    </row>
    <row r="178" spans="2:4" ht="12.75">
      <c r="B178" s="276">
        <v>171</v>
      </c>
      <c r="C178" s="277" t="s">
        <v>254</v>
      </c>
      <c r="D178" s="41" t="s">
        <v>474</v>
      </c>
    </row>
    <row r="179" spans="2:4" ht="12.75">
      <c r="B179" s="276">
        <v>172</v>
      </c>
      <c r="C179" s="277" t="s">
        <v>257</v>
      </c>
      <c r="D179" s="41" t="s">
        <v>475</v>
      </c>
    </row>
    <row r="180" spans="2:4" ht="12.75">
      <c r="B180" s="276">
        <v>173</v>
      </c>
      <c r="C180" s="277" t="s">
        <v>262</v>
      </c>
      <c r="D180" s="41" t="s">
        <v>566</v>
      </c>
    </row>
    <row r="181" spans="2:4" ht="12.75">
      <c r="B181" s="276">
        <v>174</v>
      </c>
      <c r="C181" s="277" t="s">
        <v>574</v>
      </c>
      <c r="D181" s="41" t="s">
        <v>583</v>
      </c>
    </row>
    <row r="182" spans="2:4" ht="12.75">
      <c r="B182" s="276">
        <v>175</v>
      </c>
      <c r="C182" s="277" t="s">
        <v>67</v>
      </c>
      <c r="D182" s="41" t="s">
        <v>402</v>
      </c>
    </row>
    <row r="183" spans="2:4" ht="12.75">
      <c r="B183" s="276">
        <v>176</v>
      </c>
      <c r="C183" s="277" t="s">
        <v>264</v>
      </c>
      <c r="D183" s="41" t="s">
        <v>572</v>
      </c>
    </row>
    <row r="184" spans="2:4" ht="12.75">
      <c r="B184" s="276">
        <v>177</v>
      </c>
      <c r="C184" s="277" t="s">
        <v>263</v>
      </c>
      <c r="D184" s="41" t="s">
        <v>582</v>
      </c>
    </row>
    <row r="185" spans="2:4" ht="12.75">
      <c r="B185" s="276">
        <v>178</v>
      </c>
      <c r="C185" s="277" t="s">
        <v>253</v>
      </c>
      <c r="D185" s="41" t="s">
        <v>458</v>
      </c>
    </row>
    <row r="186" spans="2:4" ht="12.75">
      <c r="B186" s="276">
        <v>179</v>
      </c>
      <c r="C186" s="277" t="s">
        <v>259</v>
      </c>
      <c r="D186" s="41" t="s">
        <v>567</v>
      </c>
    </row>
    <row r="187" spans="2:4" ht="12.75">
      <c r="B187" s="276">
        <v>180</v>
      </c>
      <c r="C187" s="277" t="s">
        <v>251</v>
      </c>
      <c r="D187" s="41" t="s">
        <v>575</v>
      </c>
    </row>
    <row r="188" spans="3:4" ht="12.75">
      <c r="C188" s="277" t="str">
        <f>"Měrná hodnota v CÚ "&amp;'0 Úvod'!$G$16</f>
        <v>Měrná hodnota v CÚ 2014</v>
      </c>
      <c r="D188" s="41" t="str">
        <f>"Specific values in price level "&amp;'0 Úvod'!$G$16</f>
        <v>Specific values in price level 2014</v>
      </c>
    </row>
    <row r="189" spans="2:4" ht="12.75">
      <c r="B189" s="276">
        <v>181</v>
      </c>
      <c r="C189" s="277" t="s">
        <v>254</v>
      </c>
      <c r="D189" s="41" t="s">
        <v>474</v>
      </c>
    </row>
    <row r="190" spans="2:4" ht="12.75">
      <c r="B190" s="276">
        <v>182</v>
      </c>
      <c r="C190" s="277" t="s">
        <v>257</v>
      </c>
      <c r="D190" s="41" t="s">
        <v>475</v>
      </c>
    </row>
    <row r="191" spans="2:4" ht="12.75">
      <c r="B191" s="276">
        <v>183</v>
      </c>
      <c r="C191" s="277" t="s">
        <v>270</v>
      </c>
      <c r="D191" s="41" t="s">
        <v>571</v>
      </c>
    </row>
    <row r="192" spans="2:4" ht="12.75">
      <c r="B192" s="276">
        <v>184</v>
      </c>
      <c r="C192" s="277" t="s">
        <v>255</v>
      </c>
      <c r="D192" s="41" t="s">
        <v>255</v>
      </c>
    </row>
    <row r="193" spans="2:4" ht="12.75">
      <c r="B193" s="276">
        <v>185</v>
      </c>
      <c r="C193" s="277" t="s">
        <v>256</v>
      </c>
      <c r="D193" s="41" t="s">
        <v>588</v>
      </c>
    </row>
    <row r="194" spans="2:4" ht="12.75">
      <c r="B194" s="276">
        <v>186</v>
      </c>
      <c r="C194" s="277" t="s">
        <v>260</v>
      </c>
      <c r="D194" s="41" t="s">
        <v>260</v>
      </c>
    </row>
    <row r="195" spans="2:4" ht="12.75">
      <c r="B195" s="276">
        <v>187</v>
      </c>
      <c r="C195" s="277" t="s">
        <v>261</v>
      </c>
      <c r="D195" s="41" t="s">
        <v>568</v>
      </c>
    </row>
    <row r="196" spans="2:4" ht="12.75">
      <c r="B196" s="276">
        <v>188</v>
      </c>
      <c r="C196" s="277" t="s">
        <v>269</v>
      </c>
      <c r="D196" s="41" t="s">
        <v>581</v>
      </c>
    </row>
    <row r="197" spans="2:4" ht="12.75">
      <c r="B197" s="276">
        <v>189</v>
      </c>
      <c r="C197" s="277" t="s">
        <v>248</v>
      </c>
      <c r="D197" s="41" t="s">
        <v>576</v>
      </c>
    </row>
    <row r="198" spans="2:4" ht="12.75">
      <c r="B198" s="276">
        <v>190</v>
      </c>
      <c r="C198" s="277" t="s">
        <v>584</v>
      </c>
      <c r="D198" s="41" t="s">
        <v>590</v>
      </c>
    </row>
    <row r="199" spans="2:4" ht="12.75">
      <c r="B199" s="276">
        <v>191</v>
      </c>
      <c r="C199" s="277" t="s">
        <v>267</v>
      </c>
      <c r="D199" s="41" t="s">
        <v>569</v>
      </c>
    </row>
    <row r="200" spans="2:4" ht="12.75">
      <c r="B200" s="276">
        <v>192</v>
      </c>
      <c r="C200" s="277" t="s">
        <v>254</v>
      </c>
      <c r="D200" s="41" t="s">
        <v>474</v>
      </c>
    </row>
    <row r="201" spans="2:4" ht="12.75">
      <c r="B201" s="276">
        <v>193</v>
      </c>
      <c r="C201" s="277" t="s">
        <v>257</v>
      </c>
      <c r="D201" s="41" t="s">
        <v>475</v>
      </c>
    </row>
    <row r="202" spans="2:4" ht="12.75">
      <c r="B202" s="276">
        <v>194</v>
      </c>
      <c r="C202" s="277" t="s">
        <v>589</v>
      </c>
      <c r="D202" s="41" t="s">
        <v>570</v>
      </c>
    </row>
    <row r="203" spans="2:4" ht="12.75">
      <c r="B203" s="276">
        <v>195</v>
      </c>
      <c r="C203" s="277" t="s">
        <v>587</v>
      </c>
      <c r="D203" s="41" t="s">
        <v>586</v>
      </c>
    </row>
    <row r="204" spans="2:4" ht="12.75">
      <c r="B204" s="276">
        <v>196</v>
      </c>
      <c r="C204" s="277" t="s">
        <v>265</v>
      </c>
      <c r="D204" s="41" t="s">
        <v>591</v>
      </c>
    </row>
    <row r="205" spans="2:4" ht="12.75">
      <c r="B205" s="276">
        <v>197</v>
      </c>
      <c r="C205" s="277" t="s">
        <v>50</v>
      </c>
      <c r="D205" s="41" t="s">
        <v>392</v>
      </c>
    </row>
    <row r="206" spans="2:3" ht="12.75">
      <c r="B206" s="276">
        <v>198</v>
      </c>
      <c r="C206" s="982" t="s">
        <v>449</v>
      </c>
    </row>
    <row r="207" spans="2:4" ht="12.75">
      <c r="B207" s="276">
        <v>199</v>
      </c>
      <c r="C207" s="1008" t="s">
        <v>451</v>
      </c>
      <c r="D207" s="1009" t="s">
        <v>450</v>
      </c>
    </row>
    <row r="208" spans="2:4" ht="12.75">
      <c r="B208" s="276">
        <v>200</v>
      </c>
      <c r="C208" s="277" t="s">
        <v>65</v>
      </c>
      <c r="D208" s="41" t="s">
        <v>401</v>
      </c>
    </row>
    <row r="209" spans="2:4" ht="12.75">
      <c r="B209" s="276">
        <v>201</v>
      </c>
      <c r="C209" s="277" t="s">
        <v>71</v>
      </c>
      <c r="D209" s="41" t="s">
        <v>453</v>
      </c>
    </row>
    <row r="210" spans="2:4" ht="12.75">
      <c r="B210" s="276">
        <v>202</v>
      </c>
      <c r="C210" s="277" t="s">
        <v>76</v>
      </c>
      <c r="D210" s="41" t="s">
        <v>454</v>
      </c>
    </row>
    <row r="211" spans="2:4" ht="12.75">
      <c r="B211" s="276">
        <v>203</v>
      </c>
      <c r="C211" s="277" t="s">
        <v>72</v>
      </c>
      <c r="D211" s="41" t="s">
        <v>455</v>
      </c>
    </row>
    <row r="212" spans="2:4" ht="12.75">
      <c r="B212" s="276">
        <v>204</v>
      </c>
      <c r="C212" s="277" t="s">
        <v>73</v>
      </c>
      <c r="D212" s="41" t="s">
        <v>456</v>
      </c>
    </row>
    <row r="213" spans="2:4" ht="12.75">
      <c r="B213" s="276">
        <v>205</v>
      </c>
      <c r="C213" s="277" t="s">
        <v>70</v>
      </c>
      <c r="D213" s="41" t="s">
        <v>452</v>
      </c>
    </row>
    <row r="214" spans="2:4" ht="12.75">
      <c r="B214" s="276">
        <v>206</v>
      </c>
      <c r="C214" s="277" t="s">
        <v>67</v>
      </c>
      <c r="D214" s="41" t="s">
        <v>402</v>
      </c>
    </row>
    <row r="215" spans="2:4" ht="12.75">
      <c r="B215" s="276">
        <v>207</v>
      </c>
      <c r="C215" s="277" t="s">
        <v>274</v>
      </c>
      <c r="D215" s="41" t="s">
        <v>457</v>
      </c>
    </row>
    <row r="216" spans="2:4" ht="12.75">
      <c r="B216" s="276">
        <v>208</v>
      </c>
      <c r="C216" s="277" t="s">
        <v>253</v>
      </c>
      <c r="D216" s="41" t="s">
        <v>458</v>
      </c>
    </row>
    <row r="217" spans="2:4" ht="12.75">
      <c r="B217" s="276">
        <v>209</v>
      </c>
      <c r="C217" s="277" t="s">
        <v>74</v>
      </c>
      <c r="D217" s="41" t="s">
        <v>459</v>
      </c>
    </row>
    <row r="218" spans="2:4" ht="12.75">
      <c r="B218" s="276">
        <v>210</v>
      </c>
      <c r="C218" s="277" t="s">
        <v>113</v>
      </c>
      <c r="D218" s="41" t="s">
        <v>461</v>
      </c>
    </row>
    <row r="219" spans="2:4" ht="12.75">
      <c r="B219" s="276">
        <v>211</v>
      </c>
      <c r="C219" s="277" t="s">
        <v>114</v>
      </c>
      <c r="D219" s="280" t="s">
        <v>460</v>
      </c>
    </row>
    <row r="220" spans="2:4" ht="12.75">
      <c r="B220" s="276">
        <v>212</v>
      </c>
      <c r="C220" s="277" t="s">
        <v>486</v>
      </c>
      <c r="D220" s="280" t="s">
        <v>487</v>
      </c>
    </row>
    <row r="221" spans="2:4" ht="12.75">
      <c r="B221" s="276">
        <v>213</v>
      </c>
      <c r="C221" s="277" t="s">
        <v>484</v>
      </c>
      <c r="D221" s="41" t="s">
        <v>462</v>
      </c>
    </row>
    <row r="222" spans="2:4" ht="12.75">
      <c r="B222" s="276">
        <v>214</v>
      </c>
      <c r="C222" s="277" t="s">
        <v>485</v>
      </c>
      <c r="D222" s="41" t="s">
        <v>463</v>
      </c>
    </row>
    <row r="223" spans="2:4" ht="12.75">
      <c r="B223" s="276">
        <v>215</v>
      </c>
      <c r="C223" s="277" t="s">
        <v>77</v>
      </c>
      <c r="D223" s="41" t="s">
        <v>464</v>
      </c>
    </row>
    <row r="224" spans="2:4" ht="12.75">
      <c r="B224" s="276">
        <v>216</v>
      </c>
      <c r="C224" s="277" t="s">
        <v>78</v>
      </c>
      <c r="D224" s="41" t="s">
        <v>465</v>
      </c>
    </row>
    <row r="225" spans="2:4" ht="12.75">
      <c r="B225" s="276">
        <v>217</v>
      </c>
      <c r="C225" s="277" t="s">
        <v>79</v>
      </c>
      <c r="D225" s="41" t="s">
        <v>466</v>
      </c>
    </row>
    <row r="226" spans="2:4" ht="12.75">
      <c r="B226" s="276">
        <v>218</v>
      </c>
      <c r="C226" s="277" t="s">
        <v>69</v>
      </c>
      <c r="D226" s="41" t="s">
        <v>467</v>
      </c>
    </row>
    <row r="227" spans="2:4" ht="12.75">
      <c r="B227" s="276">
        <v>219</v>
      </c>
      <c r="C227" s="277" t="s">
        <v>255</v>
      </c>
      <c r="D227" s="41" t="s">
        <v>468</v>
      </c>
    </row>
    <row r="228" spans="2:4" ht="12.75">
      <c r="B228" s="276">
        <v>220</v>
      </c>
      <c r="C228" s="277" t="s">
        <v>256</v>
      </c>
      <c r="D228" s="41" t="s">
        <v>469</v>
      </c>
    </row>
    <row r="229" spans="2:4" ht="12.75">
      <c r="B229" s="276">
        <v>221</v>
      </c>
      <c r="C229" s="277" t="s">
        <v>69</v>
      </c>
      <c r="D229" s="41" t="s">
        <v>467</v>
      </c>
    </row>
    <row r="230" spans="2:4" ht="12.75">
      <c r="B230" s="276">
        <v>222</v>
      </c>
      <c r="C230" s="277" t="s">
        <v>472</v>
      </c>
      <c r="D230" s="41" t="s">
        <v>470</v>
      </c>
    </row>
    <row r="231" spans="2:4" ht="12.75">
      <c r="B231" s="276">
        <v>223</v>
      </c>
      <c r="C231" s="277" t="s">
        <v>473</v>
      </c>
      <c r="D231" s="41" t="s">
        <v>471</v>
      </c>
    </row>
    <row r="232" spans="2:4" ht="12.75">
      <c r="B232" s="276">
        <v>224</v>
      </c>
      <c r="C232" s="277" t="s">
        <v>522</v>
      </c>
      <c r="D232" s="41" t="s">
        <v>523</v>
      </c>
    </row>
    <row r="233" spans="2:4" ht="12.75">
      <c r="B233" s="276">
        <v>225</v>
      </c>
      <c r="C233" s="277" t="s">
        <v>258</v>
      </c>
      <c r="D233" s="41" t="s">
        <v>585</v>
      </c>
    </row>
    <row r="234" spans="2:4" ht="12.75">
      <c r="B234" s="276">
        <v>226</v>
      </c>
      <c r="C234" s="277" t="s">
        <v>254</v>
      </c>
      <c r="D234" s="41" t="s">
        <v>474</v>
      </c>
    </row>
    <row r="235" spans="2:4" ht="12.75">
      <c r="B235" s="276">
        <v>227</v>
      </c>
      <c r="C235" s="277" t="s">
        <v>257</v>
      </c>
      <c r="D235" s="41" t="s">
        <v>475</v>
      </c>
    </row>
    <row r="236" spans="2:4" ht="12.75">
      <c r="B236" s="276">
        <v>228</v>
      </c>
      <c r="C236" s="277" t="s">
        <v>112</v>
      </c>
      <c r="D236" s="41" t="s">
        <v>476</v>
      </c>
    </row>
    <row r="237" spans="2:4" ht="12.75">
      <c r="B237" s="276">
        <v>229</v>
      </c>
      <c r="C237" s="277" t="s">
        <v>275</v>
      </c>
      <c r="D237" s="41" t="s">
        <v>478</v>
      </c>
    </row>
    <row r="238" spans="2:4" ht="12.75">
      <c r="B238" s="276">
        <v>230</v>
      </c>
      <c r="C238" s="277" t="s">
        <v>281</v>
      </c>
      <c r="D238" s="1014" t="s">
        <v>479</v>
      </c>
    </row>
    <row r="239" spans="2:4" ht="12.75">
      <c r="B239" s="276">
        <v>231</v>
      </c>
      <c r="C239" s="277" t="s">
        <v>276</v>
      </c>
      <c r="D239" s="41" t="s">
        <v>480</v>
      </c>
    </row>
    <row r="240" spans="2:4" ht="12.75">
      <c r="B240" s="276">
        <v>232</v>
      </c>
      <c r="C240" s="277" t="s">
        <v>277</v>
      </c>
      <c r="D240" s="41" t="s">
        <v>481</v>
      </c>
    </row>
    <row r="241" spans="2:4" ht="12.75">
      <c r="B241" s="276">
        <v>233</v>
      </c>
      <c r="C241" s="277" t="s">
        <v>278</v>
      </c>
      <c r="D241" s="41" t="s">
        <v>482</v>
      </c>
    </row>
    <row r="242" spans="2:4" ht="12.75">
      <c r="B242" s="276">
        <v>234</v>
      </c>
      <c r="C242" s="277" t="s">
        <v>279</v>
      </c>
      <c r="D242" s="41" t="s">
        <v>483</v>
      </c>
    </row>
    <row r="243" spans="2:4" ht="12.75">
      <c r="B243" s="276">
        <v>235</v>
      </c>
      <c r="C243" s="277" t="s">
        <v>280</v>
      </c>
      <c r="D243" s="41" t="s">
        <v>477</v>
      </c>
    </row>
    <row r="244" spans="2:4" ht="12.75">
      <c r="B244" s="276">
        <v>236</v>
      </c>
      <c r="C244" s="277" t="s">
        <v>64</v>
      </c>
      <c r="D244" s="41" t="s">
        <v>179</v>
      </c>
    </row>
    <row r="245" spans="2:4" ht="12.75">
      <c r="B245" s="276">
        <v>237</v>
      </c>
      <c r="C245" s="277" t="s">
        <v>524</v>
      </c>
      <c r="D245" s="41" t="s">
        <v>525</v>
      </c>
    </row>
    <row r="246" spans="2:4" ht="12.75">
      <c r="B246" s="276">
        <v>238</v>
      </c>
      <c r="C246" s="277" t="s">
        <v>526</v>
      </c>
      <c r="D246" s="280" t="s">
        <v>527</v>
      </c>
    </row>
    <row r="247" spans="2:4" ht="12.75">
      <c r="B247" s="276">
        <v>239</v>
      </c>
      <c r="C247" s="277" t="s">
        <v>50</v>
      </c>
      <c r="D247" s="41" t="s">
        <v>392</v>
      </c>
    </row>
    <row r="248" spans="2:3" ht="12.75">
      <c r="B248" s="276">
        <v>240</v>
      </c>
      <c r="C248" s="982" t="s">
        <v>425</v>
      </c>
    </row>
    <row r="249" spans="2:4" ht="12.75">
      <c r="B249" s="276">
        <v>241</v>
      </c>
      <c r="C249" s="1008" t="s">
        <v>149</v>
      </c>
      <c r="D249" s="1009" t="s">
        <v>427</v>
      </c>
    </row>
    <row r="250" spans="2:4" ht="12.75">
      <c r="B250" s="276">
        <v>242</v>
      </c>
      <c r="C250" s="277" t="s">
        <v>65</v>
      </c>
      <c r="D250" s="41" t="s">
        <v>401</v>
      </c>
    </row>
    <row r="251" spans="2:4" ht="12.75">
      <c r="B251" s="276">
        <v>243</v>
      </c>
      <c r="C251" s="277" t="s">
        <v>150</v>
      </c>
      <c r="D251" s="41" t="s">
        <v>428</v>
      </c>
    </row>
    <row r="252" spans="2:4" ht="12.75">
      <c r="B252" s="276">
        <v>244</v>
      </c>
      <c r="C252" s="277" t="s">
        <v>442</v>
      </c>
      <c r="D252" s="41" t="s">
        <v>443</v>
      </c>
    </row>
    <row r="253" spans="2:4" ht="12.75">
      <c r="B253" s="276">
        <v>245</v>
      </c>
      <c r="C253" s="277" t="s">
        <v>342</v>
      </c>
      <c r="D253" s="41" t="s">
        <v>438</v>
      </c>
    </row>
    <row r="254" spans="2:4" ht="12.75">
      <c r="B254" s="276">
        <v>246</v>
      </c>
      <c r="C254" s="277" t="s">
        <v>142</v>
      </c>
      <c r="D254" s="41" t="s">
        <v>447</v>
      </c>
    </row>
    <row r="255" spans="2:4" ht="12.75">
      <c r="B255" s="276">
        <v>247</v>
      </c>
      <c r="C255" s="277" t="s">
        <v>615</v>
      </c>
      <c r="D255" s="41" t="s">
        <v>616</v>
      </c>
    </row>
    <row r="256" spans="2:4" ht="12.75">
      <c r="B256" s="276">
        <v>248</v>
      </c>
      <c r="C256" s="277" t="s">
        <v>614</v>
      </c>
      <c r="D256" s="41" t="s">
        <v>617</v>
      </c>
    </row>
    <row r="257" spans="2:4" ht="12.75">
      <c r="B257" s="276">
        <v>249</v>
      </c>
      <c r="C257" s="277" t="s">
        <v>273</v>
      </c>
      <c r="D257" s="41" t="s">
        <v>439</v>
      </c>
    </row>
    <row r="258" spans="2:4" ht="12.75">
      <c r="B258" s="276">
        <v>250</v>
      </c>
      <c r="C258" s="277" t="s">
        <v>64</v>
      </c>
      <c r="D258" s="41" t="s">
        <v>179</v>
      </c>
    </row>
    <row r="259" spans="2:4" ht="12.75">
      <c r="B259" s="276">
        <v>251</v>
      </c>
      <c r="C259" s="277" t="s">
        <v>67</v>
      </c>
      <c r="D259" s="41" t="s">
        <v>402</v>
      </c>
    </row>
    <row r="260" spans="2:4" ht="12.75">
      <c r="B260" s="276">
        <v>252</v>
      </c>
      <c r="C260" s="277" t="s">
        <v>604</v>
      </c>
      <c r="D260" s="41" t="s">
        <v>605</v>
      </c>
    </row>
    <row r="261" spans="2:4" ht="12.75">
      <c r="B261" s="276">
        <v>253</v>
      </c>
      <c r="C261" s="277" t="s">
        <v>272</v>
      </c>
      <c r="D261" s="41" t="s">
        <v>447</v>
      </c>
    </row>
    <row r="262" spans="2:4" ht="12.75">
      <c r="B262" s="276">
        <v>254</v>
      </c>
      <c r="C262" s="277" t="s">
        <v>273</v>
      </c>
      <c r="D262" s="41" t="s">
        <v>439</v>
      </c>
    </row>
    <row r="263" spans="2:4" ht="12.75">
      <c r="B263" s="276">
        <v>255</v>
      </c>
      <c r="C263" s="277" t="s">
        <v>151</v>
      </c>
      <c r="D263" s="41" t="s">
        <v>433</v>
      </c>
    </row>
    <row r="264" spans="2:4" ht="12.75">
      <c r="B264" s="276">
        <v>256</v>
      </c>
      <c r="C264" s="277" t="s">
        <v>440</v>
      </c>
      <c r="D264" s="41" t="s">
        <v>434</v>
      </c>
    </row>
    <row r="265" spans="2:4" ht="12.75">
      <c r="B265" s="276">
        <v>257</v>
      </c>
      <c r="C265" s="277" t="s">
        <v>441</v>
      </c>
      <c r="D265" s="41" t="s">
        <v>435</v>
      </c>
    </row>
    <row r="266" spans="2:4" ht="12.75">
      <c r="B266" s="276">
        <v>258</v>
      </c>
      <c r="C266" s="277" t="s">
        <v>152</v>
      </c>
      <c r="D266" s="41" t="s">
        <v>436</v>
      </c>
    </row>
    <row r="267" spans="2:4" ht="12.75">
      <c r="B267" s="276">
        <v>259</v>
      </c>
      <c r="C267" s="277" t="s">
        <v>609</v>
      </c>
      <c r="D267" s="41" t="s">
        <v>437</v>
      </c>
    </row>
    <row r="268" spans="2:4" ht="12.75">
      <c r="B268" s="276">
        <v>260</v>
      </c>
      <c r="C268" s="277" t="s">
        <v>610</v>
      </c>
      <c r="D268" s="41" t="s">
        <v>611</v>
      </c>
    </row>
    <row r="269" spans="2:4" ht="12.75">
      <c r="B269" s="276">
        <v>261</v>
      </c>
      <c r="C269" s="277" t="s">
        <v>608</v>
      </c>
      <c r="D269" s="41" t="s">
        <v>612</v>
      </c>
    </row>
    <row r="270" spans="2:4" ht="12.75">
      <c r="B270" s="276">
        <v>262</v>
      </c>
      <c r="C270" s="277" t="s">
        <v>341</v>
      </c>
      <c r="D270" s="41" t="s">
        <v>613</v>
      </c>
    </row>
    <row r="271" spans="2:4" ht="12.75">
      <c r="B271" s="276">
        <v>263</v>
      </c>
      <c r="C271" s="277" t="s">
        <v>148</v>
      </c>
      <c r="D271" s="41" t="s">
        <v>426</v>
      </c>
    </row>
    <row r="272" spans="2:4" ht="12.75">
      <c r="B272" s="276">
        <v>264</v>
      </c>
      <c r="C272" s="277" t="s">
        <v>432</v>
      </c>
      <c r="D272" s="41" t="s">
        <v>430</v>
      </c>
    </row>
    <row r="273" spans="2:4" ht="12.75">
      <c r="B273" s="276">
        <v>265</v>
      </c>
      <c r="C273" s="277" t="s">
        <v>431</v>
      </c>
      <c r="D273" s="41" t="s">
        <v>429</v>
      </c>
    </row>
    <row r="274" spans="2:4" ht="12.75">
      <c r="B274" s="276">
        <v>266</v>
      </c>
      <c r="C274" s="277" t="s">
        <v>50</v>
      </c>
      <c r="D274" s="41" t="s">
        <v>392</v>
      </c>
    </row>
    <row r="275" spans="2:4" ht="12.75">
      <c r="B275" s="276">
        <v>267</v>
      </c>
      <c r="C275" s="277" t="s">
        <v>142</v>
      </c>
      <c r="D275" s="41" t="s">
        <v>447</v>
      </c>
    </row>
    <row r="276" spans="2:4" ht="12.75">
      <c r="B276" s="276">
        <v>268</v>
      </c>
      <c r="C276" s="277" t="s">
        <v>144</v>
      </c>
      <c r="D276" s="41" t="s">
        <v>445</v>
      </c>
    </row>
    <row r="277" spans="2:4" ht="12.75">
      <c r="B277" s="276">
        <v>269</v>
      </c>
      <c r="C277" s="277" t="s">
        <v>599</v>
      </c>
      <c r="D277" s="41" t="s">
        <v>600</v>
      </c>
    </row>
    <row r="278" spans="2:4" ht="12.75">
      <c r="B278" s="276">
        <v>270</v>
      </c>
      <c r="C278" s="277" t="s">
        <v>601</v>
      </c>
      <c r="D278" s="41" t="s">
        <v>602</v>
      </c>
    </row>
    <row r="279" spans="2:4" ht="12.75">
      <c r="B279" s="276">
        <v>271</v>
      </c>
      <c r="C279" s="277" t="s">
        <v>143</v>
      </c>
      <c r="D279" s="41" t="s">
        <v>446</v>
      </c>
    </row>
    <row r="280" spans="2:4" ht="12.75">
      <c r="B280" s="276">
        <v>272</v>
      </c>
      <c r="C280" s="277" t="s">
        <v>598</v>
      </c>
      <c r="D280" s="41" t="s">
        <v>597</v>
      </c>
    </row>
    <row r="281" spans="2:3" ht="12.75">
      <c r="B281" s="276">
        <v>273</v>
      </c>
      <c r="C281" s="982" t="s">
        <v>444</v>
      </c>
    </row>
    <row r="282" spans="2:4" ht="12.75">
      <c r="B282" s="276">
        <v>274</v>
      </c>
      <c r="C282" s="1008" t="s">
        <v>282</v>
      </c>
      <c r="D282" s="1009" t="s">
        <v>422</v>
      </c>
    </row>
    <row r="283" spans="2:4" ht="12.75">
      <c r="B283" s="276">
        <v>275</v>
      </c>
      <c r="C283" s="277" t="s">
        <v>65</v>
      </c>
      <c r="D283" s="41" t="s">
        <v>401</v>
      </c>
    </row>
    <row r="284" spans="2:4" ht="12.75">
      <c r="B284" s="276">
        <v>276</v>
      </c>
      <c r="C284" s="277" t="s">
        <v>67</v>
      </c>
      <c r="D284" s="41" t="s">
        <v>402</v>
      </c>
    </row>
    <row r="285" spans="2:4" ht="12.75">
      <c r="B285" s="276">
        <v>277</v>
      </c>
      <c r="C285" s="277" t="s">
        <v>424</v>
      </c>
      <c r="D285" s="41" t="s">
        <v>423</v>
      </c>
    </row>
    <row r="286" spans="2:4" ht="12.75">
      <c r="B286" s="276">
        <v>278</v>
      </c>
      <c r="C286" s="277" t="s">
        <v>64</v>
      </c>
      <c r="D286" s="41" t="s">
        <v>179</v>
      </c>
    </row>
    <row r="287" spans="2:4" ht="12.75">
      <c r="B287" s="276">
        <v>279</v>
      </c>
      <c r="C287" s="277" t="s">
        <v>50</v>
      </c>
      <c r="D287" s="41" t="s">
        <v>392</v>
      </c>
    </row>
    <row r="288" spans="2:4" ht="12.75">
      <c r="B288" s="276">
        <v>280</v>
      </c>
      <c r="C288" s="277" t="s">
        <v>106</v>
      </c>
      <c r="D288" s="41" t="s">
        <v>421</v>
      </c>
    </row>
    <row r="289" ht="12.75">
      <c r="B289" s="276">
        <v>281</v>
      </c>
    </row>
    <row r="290" spans="2:3" ht="12.75">
      <c r="B290" s="276">
        <v>282</v>
      </c>
      <c r="C290" s="982" t="s">
        <v>420</v>
      </c>
    </row>
    <row r="291" spans="2:4" ht="12.75">
      <c r="B291" s="276">
        <v>283</v>
      </c>
      <c r="C291" s="1008" t="s">
        <v>46</v>
      </c>
      <c r="D291" s="1009" t="s">
        <v>324</v>
      </c>
    </row>
    <row r="292" spans="2:4" ht="12.75">
      <c r="B292" s="276">
        <v>284</v>
      </c>
      <c r="C292" s="277" t="s">
        <v>64</v>
      </c>
      <c r="D292" s="41" t="s">
        <v>179</v>
      </c>
    </row>
    <row r="293" spans="2:4" ht="12.75">
      <c r="B293" s="276">
        <v>285</v>
      </c>
      <c r="C293" s="277" t="s">
        <v>138</v>
      </c>
      <c r="D293" s="41" t="s">
        <v>409</v>
      </c>
    </row>
    <row r="294" spans="2:4" ht="12.75">
      <c r="B294" s="276">
        <v>286</v>
      </c>
      <c r="C294" s="277" t="s">
        <v>137</v>
      </c>
      <c r="D294" s="41" t="s">
        <v>410</v>
      </c>
    </row>
    <row r="295" spans="2:4" ht="12.75">
      <c r="B295" s="276">
        <v>287</v>
      </c>
      <c r="C295" s="277" t="s">
        <v>139</v>
      </c>
      <c r="D295" s="41" t="s">
        <v>417</v>
      </c>
    </row>
    <row r="296" spans="2:4" ht="12.75">
      <c r="B296" s="276">
        <v>288</v>
      </c>
      <c r="C296" s="277" t="s">
        <v>140</v>
      </c>
      <c r="D296" s="41" t="s">
        <v>411</v>
      </c>
    </row>
    <row r="297" spans="2:4" ht="12.75">
      <c r="B297" s="276">
        <v>289</v>
      </c>
      <c r="C297" s="277" t="s">
        <v>141</v>
      </c>
      <c r="D297" s="41" t="s">
        <v>419</v>
      </c>
    </row>
    <row r="298" spans="2:4" ht="12.75">
      <c r="B298" s="276">
        <v>290</v>
      </c>
      <c r="C298" s="277" t="s">
        <v>282</v>
      </c>
      <c r="D298" s="41" t="s">
        <v>418</v>
      </c>
    </row>
    <row r="299" spans="2:4" ht="12.75">
      <c r="B299" s="276">
        <v>291</v>
      </c>
      <c r="C299" s="277" t="s">
        <v>268</v>
      </c>
      <c r="D299" s="41" t="s">
        <v>403</v>
      </c>
    </row>
    <row r="300" spans="2:4" ht="12.75">
      <c r="B300" s="276">
        <v>292</v>
      </c>
      <c r="C300" s="277" t="s">
        <v>99</v>
      </c>
      <c r="D300" s="41" t="s">
        <v>404</v>
      </c>
    </row>
    <row r="301" spans="2:4" ht="12.75">
      <c r="B301" s="276">
        <v>293</v>
      </c>
      <c r="C301" s="277" t="s">
        <v>100</v>
      </c>
      <c r="D301" s="41" t="s">
        <v>405</v>
      </c>
    </row>
    <row r="302" spans="2:4" ht="12.75">
      <c r="B302" s="276">
        <v>294</v>
      </c>
      <c r="C302" s="277" t="s">
        <v>93</v>
      </c>
      <c r="D302" s="41" t="s">
        <v>406</v>
      </c>
    </row>
    <row r="303" spans="2:4" ht="12.75">
      <c r="B303" s="276">
        <v>295</v>
      </c>
      <c r="C303" s="277" t="s">
        <v>0</v>
      </c>
      <c r="D303" s="41" t="s">
        <v>0</v>
      </c>
    </row>
    <row r="304" spans="2:4" ht="12.75">
      <c r="B304" s="276">
        <v>296</v>
      </c>
      <c r="C304" s="277" t="s">
        <v>42</v>
      </c>
      <c r="D304" s="41" t="s">
        <v>407</v>
      </c>
    </row>
    <row r="305" spans="2:4" ht="12.75">
      <c r="B305" s="276">
        <v>297</v>
      </c>
      <c r="C305" s="277" t="s">
        <v>81</v>
      </c>
      <c r="D305" s="41" t="s">
        <v>408</v>
      </c>
    </row>
    <row r="306" spans="2:4" ht="12.75">
      <c r="B306" s="276">
        <v>298</v>
      </c>
      <c r="C306" s="277" t="s">
        <v>82</v>
      </c>
      <c r="D306" s="41" t="s">
        <v>412</v>
      </c>
    </row>
    <row r="307" spans="2:4" ht="12.75">
      <c r="B307" s="276">
        <v>299</v>
      </c>
      <c r="C307" s="277" t="s">
        <v>83</v>
      </c>
      <c r="D307" s="41" t="s">
        <v>413</v>
      </c>
    </row>
    <row r="308" spans="2:4" ht="12.75">
      <c r="B308" s="276">
        <v>300</v>
      </c>
      <c r="C308" s="277" t="s">
        <v>85</v>
      </c>
      <c r="D308" s="41" t="s">
        <v>414</v>
      </c>
    </row>
    <row r="309" spans="2:4" ht="12.75">
      <c r="B309" s="276">
        <v>301</v>
      </c>
      <c r="C309" s="277" t="s">
        <v>84</v>
      </c>
      <c r="D309" s="41" t="s">
        <v>415</v>
      </c>
    </row>
    <row r="310" spans="2:4" ht="12.75">
      <c r="B310" s="276">
        <v>302</v>
      </c>
      <c r="C310" s="277" t="s">
        <v>50</v>
      </c>
      <c r="D310" s="41" t="s">
        <v>392</v>
      </c>
    </row>
    <row r="311" spans="2:4" ht="12.75">
      <c r="B311" s="276">
        <v>303</v>
      </c>
      <c r="C311" s="277" t="s">
        <v>107</v>
      </c>
      <c r="D311" s="41" t="s">
        <v>416</v>
      </c>
    </row>
    <row r="312" ht="12.75">
      <c r="B312" s="276">
        <v>304</v>
      </c>
    </row>
    <row r="313" spans="2:3" ht="12.75">
      <c r="B313" s="276">
        <v>305</v>
      </c>
      <c r="C313" s="982" t="s">
        <v>448</v>
      </c>
    </row>
    <row r="314" spans="2:4" ht="12.75">
      <c r="B314" s="276">
        <v>306</v>
      </c>
      <c r="C314" s="1008" t="s">
        <v>171</v>
      </c>
      <c r="D314" s="1009" t="s">
        <v>332</v>
      </c>
    </row>
    <row r="315" spans="2:4" ht="12.75">
      <c r="B315" s="276">
        <v>307</v>
      </c>
      <c r="C315" s="277" t="s">
        <v>64</v>
      </c>
      <c r="D315" s="41" t="s">
        <v>179</v>
      </c>
    </row>
    <row r="316" spans="2:4" ht="12.75">
      <c r="B316" s="276">
        <v>308</v>
      </c>
      <c r="C316" s="277" t="s">
        <v>191</v>
      </c>
      <c r="D316" s="41" t="s">
        <v>505</v>
      </c>
    </row>
    <row r="317" spans="2:4" ht="12.75">
      <c r="B317" s="276">
        <v>309</v>
      </c>
      <c r="C317" s="277" t="s">
        <v>192</v>
      </c>
      <c r="D317" s="41" t="s">
        <v>503</v>
      </c>
    </row>
    <row r="318" spans="2:4" ht="12.75">
      <c r="B318" s="276">
        <v>310</v>
      </c>
      <c r="C318" s="277" t="s">
        <v>193</v>
      </c>
      <c r="D318" s="41" t="s">
        <v>504</v>
      </c>
    </row>
    <row r="319" spans="2:4" ht="12.75">
      <c r="B319" s="276">
        <v>311</v>
      </c>
      <c r="C319" s="277" t="s">
        <v>194</v>
      </c>
      <c r="D319" s="41" t="s">
        <v>506</v>
      </c>
    </row>
    <row r="320" spans="2:4" ht="12.75">
      <c r="B320" s="276">
        <v>312</v>
      </c>
      <c r="C320" s="277" t="s">
        <v>44</v>
      </c>
      <c r="D320" s="41" t="s">
        <v>325</v>
      </c>
    </row>
    <row r="321" spans="2:4" ht="12.75">
      <c r="B321" s="276">
        <v>313</v>
      </c>
      <c r="C321" s="277" t="s">
        <v>93</v>
      </c>
      <c r="D321" s="41" t="s">
        <v>406</v>
      </c>
    </row>
    <row r="322" spans="2:4" ht="12.75">
      <c r="B322" s="276">
        <v>314</v>
      </c>
      <c r="C322" s="277" t="s">
        <v>0</v>
      </c>
      <c r="D322" s="41" t="s">
        <v>0</v>
      </c>
    </row>
    <row r="323" spans="2:4" ht="12.75">
      <c r="B323" s="276">
        <v>315</v>
      </c>
      <c r="C323" s="277" t="s">
        <v>42</v>
      </c>
      <c r="D323" s="41" t="s">
        <v>407</v>
      </c>
    </row>
    <row r="324" spans="2:4" ht="12.75">
      <c r="B324" s="276">
        <v>316</v>
      </c>
      <c r="C324" s="277" t="s">
        <v>195</v>
      </c>
      <c r="D324" s="41" t="s">
        <v>408</v>
      </c>
    </row>
    <row r="325" spans="2:4" ht="12.75">
      <c r="B325" s="276">
        <v>317</v>
      </c>
      <c r="C325" s="277" t="s">
        <v>502</v>
      </c>
      <c r="D325" s="41" t="s">
        <v>501</v>
      </c>
    </row>
    <row r="326" spans="2:4" ht="12.75">
      <c r="B326" s="276">
        <v>318</v>
      </c>
      <c r="C326" s="277" t="s">
        <v>339</v>
      </c>
      <c r="D326" s="41" t="s">
        <v>499</v>
      </c>
    </row>
    <row r="327" spans="2:4" ht="12.75">
      <c r="B327" s="276">
        <v>319</v>
      </c>
      <c r="C327" s="277" t="s">
        <v>340</v>
      </c>
      <c r="D327" s="41" t="s">
        <v>500</v>
      </c>
    </row>
    <row r="328" spans="2:4" ht="12.75">
      <c r="B328" s="276">
        <v>320</v>
      </c>
      <c r="C328" s="277" t="s">
        <v>50</v>
      </c>
      <c r="D328" s="41" t="s">
        <v>392</v>
      </c>
    </row>
    <row r="329" spans="2:3" ht="12.75">
      <c r="B329" s="276">
        <v>321</v>
      </c>
      <c r="C329" s="982" t="s">
        <v>491</v>
      </c>
    </row>
    <row r="330" spans="2:4" ht="12.75">
      <c r="B330" s="276">
        <v>322</v>
      </c>
      <c r="C330" s="1008" t="s">
        <v>200</v>
      </c>
      <c r="D330" s="1009" t="s">
        <v>520</v>
      </c>
    </row>
    <row r="331" spans="2:4" ht="12.75">
      <c r="B331" s="276">
        <v>323</v>
      </c>
      <c r="C331" s="277" t="s">
        <v>178</v>
      </c>
      <c r="D331" s="41" t="s">
        <v>317</v>
      </c>
    </row>
    <row r="332" spans="2:4" ht="12.75">
      <c r="B332" s="276">
        <v>324</v>
      </c>
      <c r="C332" s="277" t="s">
        <v>170</v>
      </c>
      <c r="D332" s="41" t="s">
        <v>507</v>
      </c>
    </row>
    <row r="333" spans="2:4" ht="12.75">
      <c r="B333" s="276">
        <v>325</v>
      </c>
      <c r="C333" s="277" t="s">
        <v>180</v>
      </c>
      <c r="D333" s="41" t="s">
        <v>508</v>
      </c>
    </row>
    <row r="334" spans="2:4" ht="12.75">
      <c r="B334" s="276">
        <v>326</v>
      </c>
      <c r="C334" s="277" t="s">
        <v>181</v>
      </c>
      <c r="D334" s="41" t="s">
        <v>509</v>
      </c>
    </row>
    <row r="335" spans="2:4" ht="12.75">
      <c r="B335" s="276">
        <v>327</v>
      </c>
      <c r="C335" s="277" t="s">
        <v>182</v>
      </c>
      <c r="D335" s="41" t="s">
        <v>510</v>
      </c>
    </row>
    <row r="336" spans="2:4" ht="12.75">
      <c r="B336" s="276">
        <v>328</v>
      </c>
      <c r="C336" s="277" t="s">
        <v>183</v>
      </c>
      <c r="D336" s="41" t="s">
        <v>511</v>
      </c>
    </row>
    <row r="337" spans="2:4" ht="12.75">
      <c r="B337" s="276">
        <v>329</v>
      </c>
      <c r="C337" s="277" t="s">
        <v>184</v>
      </c>
      <c r="D337" s="41" t="s">
        <v>512</v>
      </c>
    </row>
    <row r="338" spans="2:4" ht="12.75">
      <c r="B338" s="276">
        <v>330</v>
      </c>
      <c r="C338" s="277" t="s">
        <v>92</v>
      </c>
      <c r="D338" s="41" t="s">
        <v>513</v>
      </c>
    </row>
    <row r="339" spans="2:4" ht="12.75">
      <c r="B339" s="276">
        <v>331</v>
      </c>
      <c r="C339" s="277" t="s">
        <v>66</v>
      </c>
      <c r="D339" s="41" t="s">
        <v>514</v>
      </c>
    </row>
    <row r="340" spans="2:4" ht="12.75">
      <c r="B340" s="276">
        <v>332</v>
      </c>
      <c r="C340" s="277" t="s">
        <v>185</v>
      </c>
      <c r="D340" s="41" t="s">
        <v>397</v>
      </c>
    </row>
    <row r="341" spans="2:4" ht="12.75">
      <c r="B341" s="276">
        <v>333</v>
      </c>
      <c r="C341" s="277" t="s">
        <v>186</v>
      </c>
      <c r="D341" s="41" t="s">
        <v>515</v>
      </c>
    </row>
    <row r="342" spans="2:4" ht="12.75">
      <c r="B342" s="276">
        <v>334</v>
      </c>
      <c r="C342" s="277" t="s">
        <v>187</v>
      </c>
      <c r="D342" s="41" t="s">
        <v>516</v>
      </c>
    </row>
    <row r="343" spans="2:4" ht="12.75">
      <c r="B343" s="276">
        <v>335</v>
      </c>
      <c r="C343" s="277" t="s">
        <v>188</v>
      </c>
      <c r="D343" s="41" t="s">
        <v>517</v>
      </c>
    </row>
    <row r="344" spans="2:4" ht="12.75">
      <c r="B344" s="276">
        <v>336</v>
      </c>
      <c r="C344" s="277" t="s">
        <v>189</v>
      </c>
      <c r="D344" s="41" t="s">
        <v>518</v>
      </c>
    </row>
    <row r="345" spans="2:4" ht="12.75">
      <c r="B345" s="276">
        <v>337</v>
      </c>
      <c r="C345" s="277" t="s">
        <v>190</v>
      </c>
      <c r="D345" s="41" t="s">
        <v>519</v>
      </c>
    </row>
    <row r="346" spans="2:4" ht="12.75">
      <c r="B346" s="276">
        <v>338</v>
      </c>
      <c r="C346" s="277" t="s">
        <v>64</v>
      </c>
      <c r="D346" s="41" t="s">
        <v>179</v>
      </c>
    </row>
    <row r="347" spans="2:4" ht="12.75">
      <c r="B347" s="276">
        <v>339</v>
      </c>
      <c r="C347" s="277" t="s">
        <v>50</v>
      </c>
      <c r="D347" s="41" t="s">
        <v>392</v>
      </c>
    </row>
    <row r="348" ht="12.75">
      <c r="C348" s="41"/>
    </row>
    <row r="349" ht="12.75">
      <c r="C349" s="41"/>
    </row>
  </sheetData>
  <sheetProtection/>
  <printOptions/>
  <pageMargins left="0.7" right="0.7" top="0.787401575" bottom="0.787401575" header="0.3" footer="0.3"/>
  <pageSetup horizontalDpi="600" verticalDpi="600" orientation="portrait" paperSize="9" scale="66" r:id="rId1"/>
  <rowBreaks count="1" manualBreakCount="1">
    <brk id="259" min="1" max="6" man="1"/>
  </rowBreaks>
</worksheet>
</file>

<file path=xl/worksheets/sheet2.xml><?xml version="1.0" encoding="utf-8"?>
<worksheet xmlns="http://schemas.openxmlformats.org/spreadsheetml/2006/main" xmlns:r="http://schemas.openxmlformats.org/officeDocument/2006/relationships">
  <sheetPr codeName="List4">
    <tabColor theme="5" tint="0.5999900102615356"/>
    <pageSetUpPr fitToPage="1"/>
  </sheetPr>
  <dimension ref="A1:AE71"/>
  <sheetViews>
    <sheetView zoomScale="90" zoomScaleNormal="90" zoomScaleSheetLayoutView="100" zoomScalePageLayoutView="0" workbookViewId="0" topLeftCell="A1">
      <selection activeCell="G8" sqref="G8"/>
    </sheetView>
  </sheetViews>
  <sheetFormatPr defaultColWidth="9.140625" defaultRowHeight="12.75"/>
  <cols>
    <col min="1" max="1" width="2.7109375" style="44" customWidth="1"/>
    <col min="2" max="2" width="5.7109375" style="44" customWidth="1"/>
    <col min="3" max="3" width="41.140625" style="44" customWidth="1"/>
    <col min="4" max="4" width="11.8515625" style="44" customWidth="1"/>
    <col min="5" max="5" width="11.7109375" style="44" customWidth="1"/>
    <col min="6" max="6" width="13.8515625" style="44" customWidth="1"/>
    <col min="7" max="9" width="10.7109375" style="44" customWidth="1"/>
    <col min="10" max="10" width="11.00390625" style="44" customWidth="1"/>
    <col min="11" max="11" width="10.7109375" style="44" customWidth="1"/>
    <col min="12" max="12" width="10.7109375" style="55" customWidth="1"/>
    <col min="13" max="31" width="10.7109375" style="44" customWidth="1"/>
    <col min="32" max="16384" width="9.140625" style="44" customWidth="1"/>
  </cols>
  <sheetData>
    <row r="1" spans="2:21" ht="12" thickBot="1">
      <c r="B1" s="48"/>
      <c r="C1" s="48"/>
      <c r="D1" s="48"/>
      <c r="E1" s="45"/>
      <c r="F1" s="51"/>
      <c r="G1" s="52"/>
      <c r="H1" s="52"/>
      <c r="I1" s="52"/>
      <c r="J1" s="52"/>
      <c r="K1" s="52"/>
      <c r="L1" s="52"/>
      <c r="M1" s="52"/>
      <c r="N1" s="52"/>
      <c r="O1" s="52"/>
      <c r="P1" s="52"/>
      <c r="Q1" s="52"/>
      <c r="R1" s="52"/>
      <c r="S1" s="52"/>
      <c r="T1" s="52"/>
      <c r="U1" s="52"/>
    </row>
    <row r="2" spans="1:31" ht="12.75">
      <c r="A2" s="53"/>
      <c r="B2" s="330" t="s">
        <v>9</v>
      </c>
      <c r="C2" s="331" t="str">
        <f>IF('0 Úvod'!$M$3="English",Slovnik!D51,Slovnik!C51)</f>
        <v>Celkové investiční náklady *</v>
      </c>
      <c r="D2" s="331"/>
      <c r="E2" s="352"/>
      <c r="F2" s="332" t="s">
        <v>134</v>
      </c>
      <c r="G2" s="345"/>
      <c r="H2" s="345"/>
      <c r="I2" s="345"/>
      <c r="J2" s="345"/>
      <c r="K2" s="345"/>
      <c r="L2" s="345"/>
      <c r="M2" s="345"/>
      <c r="N2" s="345"/>
      <c r="O2" s="345"/>
      <c r="P2" s="345"/>
      <c r="Q2" s="345"/>
      <c r="R2" s="345"/>
      <c r="S2" s="345"/>
      <c r="T2" s="345"/>
      <c r="U2" s="345"/>
      <c r="V2" s="345"/>
      <c r="W2" s="345"/>
      <c r="X2" s="345"/>
      <c r="Y2" s="345"/>
      <c r="Z2" s="345"/>
      <c r="AA2" s="345"/>
      <c r="AB2" s="345"/>
      <c r="AC2" s="345"/>
      <c r="AD2" s="345"/>
      <c r="AE2" s="346"/>
    </row>
    <row r="3" spans="2:31" ht="12.75" customHeight="1" thickBot="1">
      <c r="B3" s="335" t="s">
        <v>17</v>
      </c>
      <c r="C3" s="353" t="str">
        <f>IF('0 Úvod'!$M$3="English",Slovnik!D52,Slovnik!C52)</f>
        <v>(stálé ceny)</v>
      </c>
      <c r="D3" s="1263"/>
      <c r="E3" s="1262"/>
      <c r="F3" s="1261" t="str">
        <f>F32</f>
        <v>Celk. projekt. náklady</v>
      </c>
      <c r="G3" s="337">
        <f>'0 Úvod'!G18</f>
        <v>2014</v>
      </c>
      <c r="H3" s="348">
        <f>G3+1</f>
        <v>2015</v>
      </c>
      <c r="I3" s="348">
        <f aca="true" t="shared" si="0" ref="I3:T3">H3+1</f>
        <v>2016</v>
      </c>
      <c r="J3" s="348">
        <f t="shared" si="0"/>
        <v>2017</v>
      </c>
      <c r="K3" s="348">
        <f t="shared" si="0"/>
        <v>2018</v>
      </c>
      <c r="L3" s="348">
        <f t="shared" si="0"/>
        <v>2019</v>
      </c>
      <c r="M3" s="348">
        <f t="shared" si="0"/>
        <v>2020</v>
      </c>
      <c r="N3" s="348">
        <f t="shared" si="0"/>
        <v>2021</v>
      </c>
      <c r="O3" s="348">
        <f t="shared" si="0"/>
        <v>2022</v>
      </c>
      <c r="P3" s="348">
        <f t="shared" si="0"/>
        <v>2023</v>
      </c>
      <c r="Q3" s="348">
        <f t="shared" si="0"/>
        <v>2024</v>
      </c>
      <c r="R3" s="348">
        <f t="shared" si="0"/>
        <v>2025</v>
      </c>
      <c r="S3" s="348">
        <f t="shared" si="0"/>
        <v>2026</v>
      </c>
      <c r="T3" s="348">
        <f t="shared" si="0"/>
        <v>2027</v>
      </c>
      <c r="U3" s="348">
        <f aca="true" t="shared" si="1" ref="U3:AE3">T3+1</f>
        <v>2028</v>
      </c>
      <c r="V3" s="348">
        <f t="shared" si="1"/>
        <v>2029</v>
      </c>
      <c r="W3" s="348">
        <f t="shared" si="1"/>
        <v>2030</v>
      </c>
      <c r="X3" s="348">
        <f t="shared" si="1"/>
        <v>2031</v>
      </c>
      <c r="Y3" s="348">
        <f t="shared" si="1"/>
        <v>2032</v>
      </c>
      <c r="Z3" s="348">
        <f t="shared" si="1"/>
        <v>2033</v>
      </c>
      <c r="AA3" s="348">
        <f t="shared" si="1"/>
        <v>2034</v>
      </c>
      <c r="AB3" s="348">
        <f t="shared" si="1"/>
        <v>2035</v>
      </c>
      <c r="AC3" s="348">
        <f t="shared" si="1"/>
        <v>2036</v>
      </c>
      <c r="AD3" s="348">
        <f t="shared" si="1"/>
        <v>2037</v>
      </c>
      <c r="AE3" s="349">
        <f t="shared" si="1"/>
        <v>2038</v>
      </c>
    </row>
    <row r="4" spans="2:31" ht="12.75" thickBot="1">
      <c r="B4" s="354"/>
      <c r="C4" s="355" t="str">
        <f>IF('0 Úvod'!$M$3="English",Slovnik!D53,Slovnik!C53)&amp;'0 Úvod'!G16</f>
        <v>Cenová úroveň 2014</v>
      </c>
      <c r="D4" s="1263"/>
      <c r="E4" s="1262"/>
      <c r="F4" s="1261"/>
      <c r="G4" s="350"/>
      <c r="H4" s="350"/>
      <c r="I4" s="350"/>
      <c r="J4" s="350"/>
      <c r="K4" s="350"/>
      <c r="L4" s="350"/>
      <c r="M4" s="350"/>
      <c r="N4" s="350"/>
      <c r="O4" s="350"/>
      <c r="P4" s="350"/>
      <c r="Q4" s="350"/>
      <c r="R4" s="350"/>
      <c r="S4" s="350"/>
      <c r="T4" s="350"/>
      <c r="U4" s="350"/>
      <c r="V4" s="350"/>
      <c r="W4" s="350"/>
      <c r="X4" s="350"/>
      <c r="Y4" s="350"/>
      <c r="Z4" s="350"/>
      <c r="AA4" s="350"/>
      <c r="AB4" s="350"/>
      <c r="AC4" s="350"/>
      <c r="AD4" s="350"/>
      <c r="AE4" s="351"/>
    </row>
    <row r="5" spans="2:31" ht="12">
      <c r="B5" s="681"/>
      <c r="C5" s="682" t="str">
        <f>IF('0 Úvod'!$M$3="English",Slovnik!D54,Slovnik!C54)</f>
        <v>Přípravná a projektová dokumentace</v>
      </c>
      <c r="D5" s="683"/>
      <c r="E5" s="684"/>
      <c r="F5" s="990">
        <f aca="true" t="shared" si="2" ref="F5:F14">SUM(G5:AE5,G19:AE19)</f>
        <v>0</v>
      </c>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80"/>
    </row>
    <row r="6" spans="2:31" ht="12">
      <c r="B6" s="685"/>
      <c r="C6" s="984" t="str">
        <f>IF('0 Úvod'!$M$3="English",Slovnik!D55,Slovnik!C55)</f>
        <v>Zábory a nákup pozemků</v>
      </c>
      <c r="D6" s="686"/>
      <c r="E6" s="687"/>
      <c r="F6" s="991">
        <f t="shared" si="2"/>
        <v>0</v>
      </c>
      <c r="G6" s="1181"/>
      <c r="H6" s="1181"/>
      <c r="I6" s="1181"/>
      <c r="J6" s="1181"/>
      <c r="K6" s="1181"/>
      <c r="L6" s="1181"/>
      <c r="M6" s="1181"/>
      <c r="N6" s="1181"/>
      <c r="O6" s="1181"/>
      <c r="P6" s="1181"/>
      <c r="Q6" s="1181"/>
      <c r="R6" s="1181"/>
      <c r="S6" s="1181"/>
      <c r="T6" s="1181"/>
      <c r="U6" s="1181"/>
      <c r="V6" s="1181"/>
      <c r="W6" s="1181"/>
      <c r="X6" s="1181"/>
      <c r="Y6" s="1181"/>
      <c r="Z6" s="1181"/>
      <c r="AA6" s="1181"/>
      <c r="AB6" s="1181"/>
      <c r="AC6" s="1181"/>
      <c r="AD6" s="1181"/>
      <c r="AE6" s="1182"/>
    </row>
    <row r="7" spans="2:31" ht="12">
      <c r="B7" s="685"/>
      <c r="C7" s="984" t="str">
        <f>IF('0 Úvod'!$M$3="English",Slovnik!D56,Slovnik!C56)</f>
        <v>Stavby a konstrukce</v>
      </c>
      <c r="D7" s="686"/>
      <c r="E7" s="687"/>
      <c r="F7" s="991">
        <f t="shared" si="2"/>
        <v>0</v>
      </c>
      <c r="G7" s="1181"/>
      <c r="H7" s="1181"/>
      <c r="I7" s="1181"/>
      <c r="J7" s="1181"/>
      <c r="K7" s="1181"/>
      <c r="L7" s="1181"/>
      <c r="M7" s="1181"/>
      <c r="N7" s="1181"/>
      <c r="O7" s="1181"/>
      <c r="P7" s="1181"/>
      <c r="Q7" s="1181"/>
      <c r="R7" s="1181"/>
      <c r="S7" s="1181"/>
      <c r="T7" s="1181"/>
      <c r="U7" s="1181"/>
      <c r="V7" s="1181"/>
      <c r="W7" s="1181"/>
      <c r="X7" s="1181"/>
      <c r="Y7" s="1181"/>
      <c r="Z7" s="1181"/>
      <c r="AA7" s="1181"/>
      <c r="AB7" s="1181"/>
      <c r="AC7" s="1181"/>
      <c r="AD7" s="1181"/>
      <c r="AE7" s="1182"/>
    </row>
    <row r="8" spans="2:31" ht="12">
      <c r="B8" s="685"/>
      <c r="C8" s="984" t="str">
        <f>IF('0 Úvod'!$M$3="English",Slovnik!D57,Slovnik!C57)</f>
        <v>Stroje a zařízení</v>
      </c>
      <c r="D8" s="686"/>
      <c r="E8" s="687"/>
      <c r="F8" s="991">
        <f t="shared" si="2"/>
        <v>0</v>
      </c>
      <c r="G8" s="1181"/>
      <c r="H8" s="1181"/>
      <c r="I8" s="1181"/>
      <c r="J8" s="1181"/>
      <c r="K8" s="1181"/>
      <c r="L8" s="1181"/>
      <c r="M8" s="1181"/>
      <c r="N8" s="1181"/>
      <c r="O8" s="1181"/>
      <c r="P8" s="1181"/>
      <c r="Q8" s="1181"/>
      <c r="R8" s="1181"/>
      <c r="S8" s="1181"/>
      <c r="T8" s="1181"/>
      <c r="U8" s="1181"/>
      <c r="V8" s="1181"/>
      <c r="W8" s="1181"/>
      <c r="X8" s="1181"/>
      <c r="Y8" s="1181"/>
      <c r="Z8" s="1181"/>
      <c r="AA8" s="1181"/>
      <c r="AB8" s="1181"/>
      <c r="AC8" s="1181"/>
      <c r="AD8" s="1181"/>
      <c r="AE8" s="1182"/>
    </row>
    <row r="9" spans="2:31" ht="12">
      <c r="B9" s="685"/>
      <c r="C9" s="985" t="str">
        <f>IF('0 Úvod'!$M$3="English",Slovnik!D58,Slovnik!C58)</f>
        <v>Technická asistence, propagace a dozor</v>
      </c>
      <c r="D9" s="688"/>
      <c r="E9" s="689"/>
      <c r="F9" s="991">
        <f t="shared" si="2"/>
        <v>0</v>
      </c>
      <c r="G9" s="1181"/>
      <c r="H9" s="1181"/>
      <c r="I9" s="1181"/>
      <c r="J9" s="1181"/>
      <c r="K9" s="1181"/>
      <c r="L9" s="1181"/>
      <c r="M9" s="1181"/>
      <c r="N9" s="1181"/>
      <c r="O9" s="1181"/>
      <c r="P9" s="1181"/>
      <c r="Q9" s="1181"/>
      <c r="R9" s="1181"/>
      <c r="S9" s="1181"/>
      <c r="T9" s="1181"/>
      <c r="U9" s="1181"/>
      <c r="V9" s="1181"/>
      <c r="W9" s="1181"/>
      <c r="X9" s="1181"/>
      <c r="Y9" s="1181"/>
      <c r="Z9" s="1181"/>
      <c r="AA9" s="1181"/>
      <c r="AB9" s="1181"/>
      <c r="AC9" s="1181"/>
      <c r="AD9" s="1181"/>
      <c r="AE9" s="1182"/>
    </row>
    <row r="10" spans="2:31" ht="12">
      <c r="B10" s="690"/>
      <c r="C10" s="691" t="str">
        <f>IF('0 Úvod'!$M$3="English",Slovnik!D59,Slovnik!C59)</f>
        <v>Celkové investiční náklady bez rezervy  (konstantní ceny)</v>
      </c>
      <c r="D10" s="692"/>
      <c r="E10" s="693"/>
      <c r="F10" s="992">
        <f t="shared" si="2"/>
        <v>0</v>
      </c>
      <c r="G10" s="142">
        <f>SUM(G5:G9)</f>
        <v>0</v>
      </c>
      <c r="H10" s="142">
        <f aca="true" t="shared" si="3" ref="H10:O10">SUM(H5:H9)</f>
        <v>0</v>
      </c>
      <c r="I10" s="142">
        <f t="shared" si="3"/>
        <v>0</v>
      </c>
      <c r="J10" s="142">
        <f t="shared" si="3"/>
        <v>0</v>
      </c>
      <c r="K10" s="142">
        <f t="shared" si="3"/>
        <v>0</v>
      </c>
      <c r="L10" s="142">
        <f t="shared" si="3"/>
        <v>0</v>
      </c>
      <c r="M10" s="142">
        <f t="shared" si="3"/>
        <v>0</v>
      </c>
      <c r="N10" s="142">
        <f t="shared" si="3"/>
        <v>0</v>
      </c>
      <c r="O10" s="142">
        <f t="shared" si="3"/>
        <v>0</v>
      </c>
      <c r="P10" s="142">
        <f>SUM(P5:P9)</f>
        <v>0</v>
      </c>
      <c r="Q10" s="142">
        <f>SUM(Q5:Q9)</f>
        <v>0</v>
      </c>
      <c r="R10" s="142">
        <f>SUM(R5:R9)</f>
        <v>0</v>
      </c>
      <c r="S10" s="142">
        <f>SUM(S5:S9)</f>
        <v>0</v>
      </c>
      <c r="T10" s="142">
        <f>SUM(T5:T9)</f>
        <v>0</v>
      </c>
      <c r="U10" s="142">
        <f aca="true" t="shared" si="4" ref="U10:AC10">SUM(U5:U9)</f>
        <v>0</v>
      </c>
      <c r="V10" s="142">
        <f t="shared" si="4"/>
        <v>0</v>
      </c>
      <c r="W10" s="142">
        <f t="shared" si="4"/>
        <v>0</v>
      </c>
      <c r="X10" s="142">
        <f t="shared" si="4"/>
        <v>0</v>
      </c>
      <c r="Y10" s="142">
        <f t="shared" si="4"/>
        <v>0</v>
      </c>
      <c r="Z10" s="142">
        <f t="shared" si="4"/>
        <v>0</v>
      </c>
      <c r="AA10" s="142">
        <f t="shared" si="4"/>
        <v>0</v>
      </c>
      <c r="AB10" s="142">
        <f t="shared" si="4"/>
        <v>0</v>
      </c>
      <c r="AC10" s="142">
        <f t="shared" si="4"/>
        <v>0</v>
      </c>
      <c r="AD10" s="142">
        <f>SUM(AD5:AD9)</f>
        <v>0</v>
      </c>
      <c r="AE10" s="144">
        <f>SUM(AE5:AE9)</f>
        <v>0</v>
      </c>
    </row>
    <row r="11" spans="2:31" ht="12">
      <c r="B11" s="685"/>
      <c r="C11" s="691" t="str">
        <f>IF('0 Úvod'!$M$3="English",Slovnik!D60,Slovnik!C60)</f>
        <v>Rezerva</v>
      </c>
      <c r="D11" s="686"/>
      <c r="E11" s="687"/>
      <c r="F11" s="991">
        <f t="shared" si="2"/>
        <v>0</v>
      </c>
      <c r="G11" s="1181"/>
      <c r="H11" s="1181"/>
      <c r="I11" s="1181"/>
      <c r="J11" s="1181"/>
      <c r="K11" s="1181"/>
      <c r="L11" s="1181"/>
      <c r="M11" s="1181"/>
      <c r="N11" s="1181"/>
      <c r="O11" s="1181"/>
      <c r="P11" s="1181"/>
      <c r="Q11" s="1181"/>
      <c r="R11" s="1181"/>
      <c r="S11" s="1181"/>
      <c r="T11" s="1181"/>
      <c r="U11" s="1181"/>
      <c r="V11" s="1181"/>
      <c r="W11" s="1181"/>
      <c r="X11" s="1181"/>
      <c r="Y11" s="1181"/>
      <c r="Z11" s="1181"/>
      <c r="AA11" s="1181"/>
      <c r="AB11" s="1181"/>
      <c r="AC11" s="1181"/>
      <c r="AD11" s="1181"/>
      <c r="AE11" s="1182"/>
    </row>
    <row r="12" spans="2:31" ht="12">
      <c r="B12" s="690"/>
      <c r="C12" s="691" t="str">
        <f>IF('0 Úvod'!$M$3="English",Slovnik!D61,Slovnik!C61)</f>
        <v>Celkové investiční náklady včetně rezervy (konstantní ceny)</v>
      </c>
      <c r="D12" s="692"/>
      <c r="E12" s="693"/>
      <c r="F12" s="992">
        <f t="shared" si="2"/>
        <v>0</v>
      </c>
      <c r="G12" s="142">
        <f>SUM(G10:G11)</f>
        <v>0</v>
      </c>
      <c r="H12" s="142">
        <f>SUM(H10:H11)</f>
        <v>0</v>
      </c>
      <c r="I12" s="142">
        <f aca="true" t="shared" si="5" ref="I12:T12">SUM(I10:I11)</f>
        <v>0</v>
      </c>
      <c r="J12" s="142">
        <f t="shared" si="5"/>
        <v>0</v>
      </c>
      <c r="K12" s="142">
        <f t="shared" si="5"/>
        <v>0</v>
      </c>
      <c r="L12" s="142">
        <f t="shared" si="5"/>
        <v>0</v>
      </c>
      <c r="M12" s="142">
        <f t="shared" si="5"/>
        <v>0</v>
      </c>
      <c r="N12" s="142">
        <f t="shared" si="5"/>
        <v>0</v>
      </c>
      <c r="O12" s="142">
        <f t="shared" si="5"/>
        <v>0</v>
      </c>
      <c r="P12" s="142">
        <f t="shared" si="5"/>
        <v>0</v>
      </c>
      <c r="Q12" s="142">
        <f t="shared" si="5"/>
        <v>0</v>
      </c>
      <c r="R12" s="142">
        <f t="shared" si="5"/>
        <v>0</v>
      </c>
      <c r="S12" s="142">
        <f t="shared" si="5"/>
        <v>0</v>
      </c>
      <c r="T12" s="142">
        <f t="shared" si="5"/>
        <v>0</v>
      </c>
      <c r="U12" s="142">
        <f aca="true" t="shared" si="6" ref="U12:AC12">SUM(U10:U11)</f>
        <v>0</v>
      </c>
      <c r="V12" s="142">
        <f t="shared" si="6"/>
        <v>0</v>
      </c>
      <c r="W12" s="142">
        <f t="shared" si="6"/>
        <v>0</v>
      </c>
      <c r="X12" s="142">
        <f t="shared" si="6"/>
        <v>0</v>
      </c>
      <c r="Y12" s="142">
        <f t="shared" si="6"/>
        <v>0</v>
      </c>
      <c r="Z12" s="142">
        <f t="shared" si="6"/>
        <v>0</v>
      </c>
      <c r="AA12" s="142">
        <f t="shared" si="6"/>
        <v>0</v>
      </c>
      <c r="AB12" s="142">
        <f t="shared" si="6"/>
        <v>0</v>
      </c>
      <c r="AC12" s="142">
        <f t="shared" si="6"/>
        <v>0</v>
      </c>
      <c r="AD12" s="142">
        <f>SUM(AD10:AD11)</f>
        <v>0</v>
      </c>
      <c r="AE12" s="144">
        <f>SUM(AE10:AE11)</f>
        <v>0</v>
      </c>
    </row>
    <row r="13" spans="2:31" ht="12.75" thickBot="1">
      <c r="B13" s="694"/>
      <c r="C13" s="986" t="str">
        <f>IF('0 Úvod'!$M$3="English",Slovnik!D62,Slovnik!C62)</f>
        <v>DPH </v>
      </c>
      <c r="D13" s="1143">
        <f>'0 Úvod'!N18</f>
        <v>0.21</v>
      </c>
      <c r="E13" s="697"/>
      <c r="F13" s="993">
        <f t="shared" si="2"/>
        <v>0</v>
      </c>
      <c r="G13" s="147">
        <f>G12*$D13</f>
        <v>0</v>
      </c>
      <c r="H13" s="147">
        <f>H12*$D13</f>
        <v>0</v>
      </c>
      <c r="I13" s="147">
        <f>I12*$D13</f>
        <v>0</v>
      </c>
      <c r="J13" s="147">
        <f aca="true" t="shared" si="7" ref="J13:AD13">J12*$D13</f>
        <v>0</v>
      </c>
      <c r="K13" s="147">
        <f t="shared" si="7"/>
        <v>0</v>
      </c>
      <c r="L13" s="147">
        <f t="shared" si="7"/>
        <v>0</v>
      </c>
      <c r="M13" s="147">
        <f t="shared" si="7"/>
        <v>0</v>
      </c>
      <c r="N13" s="147">
        <f t="shared" si="7"/>
        <v>0</v>
      </c>
      <c r="O13" s="147">
        <f t="shared" si="7"/>
        <v>0</v>
      </c>
      <c r="P13" s="147">
        <f t="shared" si="7"/>
        <v>0</v>
      </c>
      <c r="Q13" s="147">
        <f t="shared" si="7"/>
        <v>0</v>
      </c>
      <c r="R13" s="147">
        <f t="shared" si="7"/>
        <v>0</v>
      </c>
      <c r="S13" s="147">
        <f t="shared" si="7"/>
        <v>0</v>
      </c>
      <c r="T13" s="147">
        <f t="shared" si="7"/>
        <v>0</v>
      </c>
      <c r="U13" s="147">
        <f t="shared" si="7"/>
        <v>0</v>
      </c>
      <c r="V13" s="147">
        <f t="shared" si="7"/>
        <v>0</v>
      </c>
      <c r="W13" s="147">
        <f t="shared" si="7"/>
        <v>0</v>
      </c>
      <c r="X13" s="147">
        <f t="shared" si="7"/>
        <v>0</v>
      </c>
      <c r="Y13" s="147">
        <f t="shared" si="7"/>
        <v>0</v>
      </c>
      <c r="Z13" s="147">
        <f t="shared" si="7"/>
        <v>0</v>
      </c>
      <c r="AA13" s="147">
        <f t="shared" si="7"/>
        <v>0</v>
      </c>
      <c r="AB13" s="147">
        <f t="shared" si="7"/>
        <v>0</v>
      </c>
      <c r="AC13" s="147">
        <f t="shared" si="7"/>
        <v>0</v>
      </c>
      <c r="AD13" s="147">
        <f t="shared" si="7"/>
        <v>0</v>
      </c>
      <c r="AE13" s="148">
        <f>AE12*$D13</f>
        <v>0</v>
      </c>
    </row>
    <row r="14" spans="2:31" ht="12.75" thickBot="1">
      <c r="B14" s="698"/>
      <c r="C14" s="987" t="str">
        <f>IF('0 Úvod'!$M$3="English",Slovnik!D63,Slovnik!C63)</f>
        <v>Celkové investiční náklady včetně DPH (stálé ceny)</v>
      </c>
      <c r="D14" s="699"/>
      <c r="E14" s="700"/>
      <c r="F14" s="994">
        <f t="shared" si="2"/>
        <v>0</v>
      </c>
      <c r="G14" s="145">
        <f>G13+G12</f>
        <v>0</v>
      </c>
      <c r="H14" s="145">
        <f>H13+H12</f>
        <v>0</v>
      </c>
      <c r="I14" s="145">
        <f aca="true" t="shared" si="8" ref="I14:T14">I13+I12</f>
        <v>0</v>
      </c>
      <c r="J14" s="145">
        <f t="shared" si="8"/>
        <v>0</v>
      </c>
      <c r="K14" s="145">
        <f t="shared" si="8"/>
        <v>0</v>
      </c>
      <c r="L14" s="145">
        <f t="shared" si="8"/>
        <v>0</v>
      </c>
      <c r="M14" s="145">
        <f t="shared" si="8"/>
        <v>0</v>
      </c>
      <c r="N14" s="145">
        <f t="shared" si="8"/>
        <v>0</v>
      </c>
      <c r="O14" s="145">
        <f t="shared" si="8"/>
        <v>0</v>
      </c>
      <c r="P14" s="145">
        <f t="shared" si="8"/>
        <v>0</v>
      </c>
      <c r="Q14" s="145">
        <f t="shared" si="8"/>
        <v>0</v>
      </c>
      <c r="R14" s="145">
        <f t="shared" si="8"/>
        <v>0</v>
      </c>
      <c r="S14" s="145">
        <f t="shared" si="8"/>
        <v>0</v>
      </c>
      <c r="T14" s="145">
        <f t="shared" si="8"/>
        <v>0</v>
      </c>
      <c r="U14" s="145">
        <f aca="true" t="shared" si="9" ref="U14:AC14">U13+U12</f>
        <v>0</v>
      </c>
      <c r="V14" s="145">
        <f t="shared" si="9"/>
        <v>0</v>
      </c>
      <c r="W14" s="145">
        <f t="shared" si="9"/>
        <v>0</v>
      </c>
      <c r="X14" s="145">
        <f t="shared" si="9"/>
        <v>0</v>
      </c>
      <c r="Y14" s="145">
        <f t="shared" si="9"/>
        <v>0</v>
      </c>
      <c r="Z14" s="145">
        <f t="shared" si="9"/>
        <v>0</v>
      </c>
      <c r="AA14" s="145">
        <f t="shared" si="9"/>
        <v>0</v>
      </c>
      <c r="AB14" s="145">
        <f t="shared" si="9"/>
        <v>0</v>
      </c>
      <c r="AC14" s="145">
        <f t="shared" si="9"/>
        <v>0</v>
      </c>
      <c r="AD14" s="145">
        <f>AD13+AD12</f>
        <v>0</v>
      </c>
      <c r="AE14" s="146">
        <f>AE13+AE12</f>
        <v>0</v>
      </c>
    </row>
    <row r="15" spans="2:31" ht="12" thickBot="1">
      <c r="B15" s="134"/>
      <c r="C15" s="134"/>
      <c r="D15" s="134"/>
      <c r="E15" s="135"/>
      <c r="F15" s="136"/>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row>
    <row r="16" spans="2:31" ht="12.75">
      <c r="B16" s="330" t="s">
        <v>9</v>
      </c>
      <c r="C16" s="331" t="str">
        <f aca="true" t="shared" si="10" ref="C16:C28">C2</f>
        <v>Celkové investiční náklady *</v>
      </c>
      <c r="D16" s="331"/>
      <c r="E16" s="331"/>
      <c r="F16" s="1144" t="s">
        <v>603</v>
      </c>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6"/>
    </row>
    <row r="17" spans="2:31" ht="13.5" thickBot="1">
      <c r="B17" s="335" t="s">
        <v>19</v>
      </c>
      <c r="C17" s="353" t="str">
        <f t="shared" si="10"/>
        <v>(stálé ceny)</v>
      </c>
      <c r="D17" s="1263"/>
      <c r="E17" s="1263"/>
      <c r="F17" s="1271"/>
      <c r="G17" s="337">
        <f>AE3+1</f>
        <v>2039</v>
      </c>
      <c r="H17" s="348">
        <f>G17+1</f>
        <v>2040</v>
      </c>
      <c r="I17" s="348">
        <f aca="true" t="shared" si="11" ref="I17:T17">H17+1</f>
        <v>2041</v>
      </c>
      <c r="J17" s="348">
        <f t="shared" si="11"/>
        <v>2042</v>
      </c>
      <c r="K17" s="348">
        <f t="shared" si="11"/>
        <v>2043</v>
      </c>
      <c r="L17" s="348">
        <f t="shared" si="11"/>
        <v>2044</v>
      </c>
      <c r="M17" s="348">
        <f t="shared" si="11"/>
        <v>2045</v>
      </c>
      <c r="N17" s="348">
        <f t="shared" si="11"/>
        <v>2046</v>
      </c>
      <c r="O17" s="348">
        <f t="shared" si="11"/>
        <v>2047</v>
      </c>
      <c r="P17" s="348">
        <f t="shared" si="11"/>
        <v>2048</v>
      </c>
      <c r="Q17" s="348">
        <f t="shared" si="11"/>
        <v>2049</v>
      </c>
      <c r="R17" s="348">
        <f t="shared" si="11"/>
        <v>2050</v>
      </c>
      <c r="S17" s="348">
        <f t="shared" si="11"/>
        <v>2051</v>
      </c>
      <c r="T17" s="348">
        <f t="shared" si="11"/>
        <v>2052</v>
      </c>
      <c r="U17" s="348">
        <f aca="true" t="shared" si="12" ref="U17:AE17">T17+1</f>
        <v>2053</v>
      </c>
      <c r="V17" s="348">
        <f t="shared" si="12"/>
        <v>2054</v>
      </c>
      <c r="W17" s="348">
        <f t="shared" si="12"/>
        <v>2055</v>
      </c>
      <c r="X17" s="348">
        <f t="shared" si="12"/>
        <v>2056</v>
      </c>
      <c r="Y17" s="348">
        <f t="shared" si="12"/>
        <v>2057</v>
      </c>
      <c r="Z17" s="348">
        <f t="shared" si="12"/>
        <v>2058</v>
      </c>
      <c r="AA17" s="348">
        <f t="shared" si="12"/>
        <v>2059</v>
      </c>
      <c r="AB17" s="348">
        <f t="shared" si="12"/>
        <v>2060</v>
      </c>
      <c r="AC17" s="348">
        <f t="shared" si="12"/>
        <v>2061</v>
      </c>
      <c r="AD17" s="348">
        <f t="shared" si="12"/>
        <v>2062</v>
      </c>
      <c r="AE17" s="349">
        <f t="shared" si="12"/>
        <v>2063</v>
      </c>
    </row>
    <row r="18" spans="2:31" ht="12.75" thickBot="1">
      <c r="B18" s="354"/>
      <c r="C18" s="355" t="str">
        <f t="shared" si="10"/>
        <v>Cenová úroveň 2014</v>
      </c>
      <c r="D18" s="1263"/>
      <c r="E18" s="1263"/>
      <c r="F18" s="1271"/>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1"/>
    </row>
    <row r="19" spans="2:31" ht="12">
      <c r="B19" s="681"/>
      <c r="C19" s="682" t="str">
        <f t="shared" si="10"/>
        <v>Přípravná a projektová dokumentace</v>
      </c>
      <c r="D19" s="683"/>
      <c r="E19" s="683"/>
      <c r="F19" s="1145">
        <f>F5/'0 Úvod'!$N$16</f>
        <v>0</v>
      </c>
      <c r="G19" s="1179"/>
      <c r="H19" s="1179"/>
      <c r="I19" s="1179"/>
      <c r="J19" s="1179"/>
      <c r="K19" s="1179"/>
      <c r="L19" s="1179"/>
      <c r="M19" s="1179"/>
      <c r="N19" s="1179"/>
      <c r="O19" s="1179"/>
      <c r="P19" s="1179"/>
      <c r="Q19" s="1179"/>
      <c r="R19" s="1179"/>
      <c r="S19" s="1179"/>
      <c r="T19" s="1179"/>
      <c r="U19" s="1179"/>
      <c r="V19" s="1179"/>
      <c r="W19" s="1179"/>
      <c r="X19" s="1179"/>
      <c r="Y19" s="1179"/>
      <c r="Z19" s="1179"/>
      <c r="AA19" s="1179"/>
      <c r="AB19" s="1179"/>
      <c r="AC19" s="1179"/>
      <c r="AD19" s="1179"/>
      <c r="AE19" s="1180"/>
    </row>
    <row r="20" spans="2:31" ht="12">
      <c r="B20" s="685"/>
      <c r="C20" s="988" t="str">
        <f t="shared" si="10"/>
        <v>Zábory a nákup pozemků</v>
      </c>
      <c r="D20" s="686"/>
      <c r="E20" s="686"/>
      <c r="F20" s="1146">
        <f>F6/'0 Úvod'!$N$16</f>
        <v>0</v>
      </c>
      <c r="G20" s="1181"/>
      <c r="H20" s="1181"/>
      <c r="I20" s="1181"/>
      <c r="J20" s="1181"/>
      <c r="K20" s="1181"/>
      <c r="L20" s="1181"/>
      <c r="M20" s="1181"/>
      <c r="N20" s="1181"/>
      <c r="O20" s="1181"/>
      <c r="P20" s="1181"/>
      <c r="Q20" s="1181"/>
      <c r="R20" s="1181"/>
      <c r="S20" s="1181"/>
      <c r="T20" s="1181"/>
      <c r="U20" s="1181"/>
      <c r="V20" s="1181"/>
      <c r="W20" s="1181"/>
      <c r="X20" s="1181"/>
      <c r="Y20" s="1181"/>
      <c r="Z20" s="1181"/>
      <c r="AA20" s="1181"/>
      <c r="AB20" s="1181"/>
      <c r="AC20" s="1181"/>
      <c r="AD20" s="1181"/>
      <c r="AE20" s="1182"/>
    </row>
    <row r="21" spans="2:31" ht="12">
      <c r="B21" s="685"/>
      <c r="C21" s="988" t="str">
        <f t="shared" si="10"/>
        <v>Stavby a konstrukce</v>
      </c>
      <c r="D21" s="686"/>
      <c r="E21" s="686"/>
      <c r="F21" s="1146">
        <f>F7/'0 Úvod'!$N$16</f>
        <v>0</v>
      </c>
      <c r="G21" s="1181"/>
      <c r="H21" s="1181"/>
      <c r="I21" s="1181"/>
      <c r="J21" s="1181"/>
      <c r="K21" s="1181"/>
      <c r="L21" s="1181"/>
      <c r="M21" s="1181"/>
      <c r="N21" s="1181"/>
      <c r="O21" s="1181"/>
      <c r="P21" s="1181"/>
      <c r="Q21" s="1181"/>
      <c r="R21" s="1181"/>
      <c r="S21" s="1181"/>
      <c r="T21" s="1181"/>
      <c r="U21" s="1181"/>
      <c r="V21" s="1181"/>
      <c r="W21" s="1181"/>
      <c r="X21" s="1181"/>
      <c r="Y21" s="1181"/>
      <c r="Z21" s="1181"/>
      <c r="AA21" s="1181"/>
      <c r="AB21" s="1181"/>
      <c r="AC21" s="1181"/>
      <c r="AD21" s="1181"/>
      <c r="AE21" s="1182"/>
    </row>
    <row r="22" spans="2:31" ht="12">
      <c r="B22" s="685"/>
      <c r="C22" s="988" t="str">
        <f t="shared" si="10"/>
        <v>Stroje a zařízení</v>
      </c>
      <c r="D22" s="686"/>
      <c r="E22" s="686"/>
      <c r="F22" s="1146">
        <f>F8/'0 Úvod'!$N$16</f>
        <v>0</v>
      </c>
      <c r="G22" s="1181"/>
      <c r="H22" s="1181"/>
      <c r="I22" s="1181"/>
      <c r="J22" s="1181"/>
      <c r="K22" s="1181"/>
      <c r="L22" s="1181"/>
      <c r="M22" s="1181"/>
      <c r="N22" s="1181"/>
      <c r="O22" s="1181"/>
      <c r="P22" s="1181"/>
      <c r="Q22" s="1181"/>
      <c r="R22" s="1181"/>
      <c r="S22" s="1181"/>
      <c r="T22" s="1181"/>
      <c r="U22" s="1181"/>
      <c r="V22" s="1181"/>
      <c r="W22" s="1181"/>
      <c r="X22" s="1181"/>
      <c r="Y22" s="1181"/>
      <c r="Z22" s="1181"/>
      <c r="AA22" s="1181"/>
      <c r="AB22" s="1181"/>
      <c r="AC22" s="1181"/>
      <c r="AD22" s="1181"/>
      <c r="AE22" s="1182"/>
    </row>
    <row r="23" spans="2:31" ht="12">
      <c r="B23" s="685"/>
      <c r="C23" s="988" t="str">
        <f t="shared" si="10"/>
        <v>Technická asistence, propagace a dozor</v>
      </c>
      <c r="D23" s="688"/>
      <c r="E23" s="688"/>
      <c r="F23" s="1147">
        <f>F9/'0 Úvod'!$N$16</f>
        <v>0</v>
      </c>
      <c r="G23" s="1181"/>
      <c r="H23" s="1181"/>
      <c r="I23" s="1181"/>
      <c r="J23" s="1181"/>
      <c r="K23" s="1181"/>
      <c r="L23" s="1181"/>
      <c r="M23" s="1181"/>
      <c r="N23" s="1181"/>
      <c r="O23" s="1181"/>
      <c r="P23" s="1181"/>
      <c r="Q23" s="1181"/>
      <c r="R23" s="1181"/>
      <c r="S23" s="1181"/>
      <c r="T23" s="1181"/>
      <c r="U23" s="1181"/>
      <c r="V23" s="1181"/>
      <c r="W23" s="1181"/>
      <c r="X23" s="1181"/>
      <c r="Y23" s="1181"/>
      <c r="Z23" s="1181"/>
      <c r="AA23" s="1181"/>
      <c r="AB23" s="1181"/>
      <c r="AC23" s="1181"/>
      <c r="AD23" s="1181"/>
      <c r="AE23" s="1182"/>
    </row>
    <row r="24" spans="2:31" ht="12">
      <c r="B24" s="690"/>
      <c r="C24" s="691" t="str">
        <f t="shared" si="10"/>
        <v>Celkové investiční náklady bez rezervy  (konstantní ceny)</v>
      </c>
      <c r="D24" s="692"/>
      <c r="E24" s="692"/>
      <c r="F24" s="1148">
        <f>F10/'0 Úvod'!$N$16</f>
        <v>0</v>
      </c>
      <c r="G24" s="142">
        <f aca="true" t="shared" si="13" ref="G24:T24">SUM(G19:G23)</f>
        <v>0</v>
      </c>
      <c r="H24" s="142">
        <f t="shared" si="13"/>
        <v>0</v>
      </c>
      <c r="I24" s="142">
        <f t="shared" si="13"/>
        <v>0</v>
      </c>
      <c r="J24" s="142">
        <f t="shared" si="13"/>
        <v>0</v>
      </c>
      <c r="K24" s="142">
        <f t="shared" si="13"/>
        <v>0</v>
      </c>
      <c r="L24" s="142">
        <f t="shared" si="13"/>
        <v>0</v>
      </c>
      <c r="M24" s="142">
        <f t="shared" si="13"/>
        <v>0</v>
      </c>
      <c r="N24" s="142">
        <f t="shared" si="13"/>
        <v>0</v>
      </c>
      <c r="O24" s="142">
        <f t="shared" si="13"/>
        <v>0</v>
      </c>
      <c r="P24" s="142">
        <f t="shared" si="13"/>
        <v>0</v>
      </c>
      <c r="Q24" s="142">
        <f t="shared" si="13"/>
        <v>0</v>
      </c>
      <c r="R24" s="142">
        <f t="shared" si="13"/>
        <v>0</v>
      </c>
      <c r="S24" s="142">
        <f t="shared" si="13"/>
        <v>0</v>
      </c>
      <c r="T24" s="142">
        <f t="shared" si="13"/>
        <v>0</v>
      </c>
      <c r="U24" s="142">
        <f aca="true" t="shared" si="14" ref="U24:AC24">SUM(U19:U23)</f>
        <v>0</v>
      </c>
      <c r="V24" s="142">
        <f t="shared" si="14"/>
        <v>0</v>
      </c>
      <c r="W24" s="142">
        <f t="shared" si="14"/>
        <v>0</v>
      </c>
      <c r="X24" s="142">
        <f t="shared" si="14"/>
        <v>0</v>
      </c>
      <c r="Y24" s="142">
        <f t="shared" si="14"/>
        <v>0</v>
      </c>
      <c r="Z24" s="142">
        <f t="shared" si="14"/>
        <v>0</v>
      </c>
      <c r="AA24" s="142">
        <f t="shared" si="14"/>
        <v>0</v>
      </c>
      <c r="AB24" s="142">
        <f t="shared" si="14"/>
        <v>0</v>
      </c>
      <c r="AC24" s="142">
        <f t="shared" si="14"/>
        <v>0</v>
      </c>
      <c r="AD24" s="142">
        <f>SUM(AD19:AD23)</f>
        <v>0</v>
      </c>
      <c r="AE24" s="144">
        <f>SUM(AE19:AE23)</f>
        <v>0</v>
      </c>
    </row>
    <row r="25" spans="2:31" ht="12">
      <c r="B25" s="685"/>
      <c r="C25" s="642" t="str">
        <f t="shared" si="10"/>
        <v>Rezerva</v>
      </c>
      <c r="D25" s="686"/>
      <c r="E25" s="686"/>
      <c r="F25" s="1146">
        <f>F11/'0 Úvod'!$N$16</f>
        <v>0</v>
      </c>
      <c r="G25" s="1181"/>
      <c r="H25" s="1181"/>
      <c r="I25" s="1181"/>
      <c r="J25" s="1181"/>
      <c r="K25" s="1181"/>
      <c r="L25" s="1181"/>
      <c r="M25" s="1181"/>
      <c r="N25" s="1181"/>
      <c r="O25" s="1181"/>
      <c r="P25" s="1181"/>
      <c r="Q25" s="1181"/>
      <c r="R25" s="1181"/>
      <c r="S25" s="1181"/>
      <c r="T25" s="1181"/>
      <c r="U25" s="1181"/>
      <c r="V25" s="1181"/>
      <c r="W25" s="1181"/>
      <c r="X25" s="1181"/>
      <c r="Y25" s="1181"/>
      <c r="Z25" s="1181"/>
      <c r="AA25" s="1181"/>
      <c r="AB25" s="1181"/>
      <c r="AC25" s="1181"/>
      <c r="AD25" s="1181"/>
      <c r="AE25" s="1182"/>
    </row>
    <row r="26" spans="2:31" ht="12">
      <c r="B26" s="690"/>
      <c r="C26" s="691" t="str">
        <f t="shared" si="10"/>
        <v>Celkové investiční náklady včetně rezervy (konstantní ceny)</v>
      </c>
      <c r="D26" s="692"/>
      <c r="E26" s="692"/>
      <c r="F26" s="1148">
        <f>F12/'0 Úvod'!$N$16</f>
        <v>0</v>
      </c>
      <c r="G26" s="142">
        <f aca="true" t="shared" si="15" ref="G26:T26">SUM(G24:G25)</f>
        <v>0</v>
      </c>
      <c r="H26" s="142">
        <f t="shared" si="15"/>
        <v>0</v>
      </c>
      <c r="I26" s="142">
        <f t="shared" si="15"/>
        <v>0</v>
      </c>
      <c r="J26" s="142">
        <f t="shared" si="15"/>
        <v>0</v>
      </c>
      <c r="K26" s="142">
        <f t="shared" si="15"/>
        <v>0</v>
      </c>
      <c r="L26" s="142">
        <f t="shared" si="15"/>
        <v>0</v>
      </c>
      <c r="M26" s="142">
        <f t="shared" si="15"/>
        <v>0</v>
      </c>
      <c r="N26" s="142">
        <f t="shared" si="15"/>
        <v>0</v>
      </c>
      <c r="O26" s="142">
        <f t="shared" si="15"/>
        <v>0</v>
      </c>
      <c r="P26" s="142">
        <f t="shared" si="15"/>
        <v>0</v>
      </c>
      <c r="Q26" s="142">
        <f t="shared" si="15"/>
        <v>0</v>
      </c>
      <c r="R26" s="142">
        <f t="shared" si="15"/>
        <v>0</v>
      </c>
      <c r="S26" s="142">
        <f t="shared" si="15"/>
        <v>0</v>
      </c>
      <c r="T26" s="142">
        <f t="shared" si="15"/>
        <v>0</v>
      </c>
      <c r="U26" s="142">
        <f aca="true" t="shared" si="16" ref="U26:AC26">SUM(U24:U25)</f>
        <v>0</v>
      </c>
      <c r="V26" s="142">
        <f t="shared" si="16"/>
        <v>0</v>
      </c>
      <c r="W26" s="142">
        <f t="shared" si="16"/>
        <v>0</v>
      </c>
      <c r="X26" s="142">
        <f t="shared" si="16"/>
        <v>0</v>
      </c>
      <c r="Y26" s="142">
        <f t="shared" si="16"/>
        <v>0</v>
      </c>
      <c r="Z26" s="142">
        <f t="shared" si="16"/>
        <v>0</v>
      </c>
      <c r="AA26" s="142">
        <f t="shared" si="16"/>
        <v>0</v>
      </c>
      <c r="AB26" s="142">
        <f t="shared" si="16"/>
        <v>0</v>
      </c>
      <c r="AC26" s="142">
        <f t="shared" si="16"/>
        <v>0</v>
      </c>
      <c r="AD26" s="142">
        <f>SUM(AD24:AD25)</f>
        <v>0</v>
      </c>
      <c r="AE26" s="144">
        <f>SUM(AE24:AE25)</f>
        <v>0</v>
      </c>
    </row>
    <row r="27" spans="2:31" ht="12.75" thickBot="1">
      <c r="B27" s="694"/>
      <c r="C27" s="695" t="str">
        <f t="shared" si="10"/>
        <v>DPH </v>
      </c>
      <c r="D27" s="1143">
        <f>D13</f>
        <v>0.21</v>
      </c>
      <c r="E27" s="696"/>
      <c r="F27" s="1149">
        <f>F13/'0 Úvod'!$N$16</f>
        <v>0</v>
      </c>
      <c r="G27" s="147">
        <f>G26*$D27</f>
        <v>0</v>
      </c>
      <c r="H27" s="147">
        <f>H26*$D27</f>
        <v>0</v>
      </c>
      <c r="I27" s="147">
        <f aca="true" t="shared" si="17" ref="I27:AD27">I26*$D27</f>
        <v>0</v>
      </c>
      <c r="J27" s="147">
        <f t="shared" si="17"/>
        <v>0</v>
      </c>
      <c r="K27" s="147">
        <f t="shared" si="17"/>
        <v>0</v>
      </c>
      <c r="L27" s="147">
        <f t="shared" si="17"/>
        <v>0</v>
      </c>
      <c r="M27" s="147">
        <f t="shared" si="17"/>
        <v>0</v>
      </c>
      <c r="N27" s="147">
        <f t="shared" si="17"/>
        <v>0</v>
      </c>
      <c r="O27" s="147">
        <f t="shared" si="17"/>
        <v>0</v>
      </c>
      <c r="P27" s="147">
        <f t="shared" si="17"/>
        <v>0</v>
      </c>
      <c r="Q27" s="147">
        <f t="shared" si="17"/>
        <v>0</v>
      </c>
      <c r="R27" s="147">
        <f t="shared" si="17"/>
        <v>0</v>
      </c>
      <c r="S27" s="147">
        <f t="shared" si="17"/>
        <v>0</v>
      </c>
      <c r="T27" s="147">
        <f t="shared" si="17"/>
        <v>0</v>
      </c>
      <c r="U27" s="147">
        <f t="shared" si="17"/>
        <v>0</v>
      </c>
      <c r="V27" s="147">
        <f t="shared" si="17"/>
        <v>0</v>
      </c>
      <c r="W27" s="147">
        <f t="shared" si="17"/>
        <v>0</v>
      </c>
      <c r="X27" s="147">
        <f t="shared" si="17"/>
        <v>0</v>
      </c>
      <c r="Y27" s="147">
        <f t="shared" si="17"/>
        <v>0</v>
      </c>
      <c r="Z27" s="147">
        <f t="shared" si="17"/>
        <v>0</v>
      </c>
      <c r="AA27" s="147">
        <f t="shared" si="17"/>
        <v>0</v>
      </c>
      <c r="AB27" s="147">
        <f t="shared" si="17"/>
        <v>0</v>
      </c>
      <c r="AC27" s="147">
        <f t="shared" si="17"/>
        <v>0</v>
      </c>
      <c r="AD27" s="147">
        <f t="shared" si="17"/>
        <v>0</v>
      </c>
      <c r="AE27" s="148">
        <f>AE26*$D27</f>
        <v>0</v>
      </c>
    </row>
    <row r="28" spans="2:31" ht="12.75" thickBot="1">
      <c r="B28" s="698"/>
      <c r="C28" s="989" t="str">
        <f t="shared" si="10"/>
        <v>Celkové investiční náklady včetně DPH (stálé ceny)</v>
      </c>
      <c r="D28" s="699"/>
      <c r="E28" s="699"/>
      <c r="F28" s="1149">
        <f>F14/'0 Úvod'!$N$16</f>
        <v>0</v>
      </c>
      <c r="G28" s="145">
        <f aca="true" t="shared" si="18" ref="G28:T28">G27+G26</f>
        <v>0</v>
      </c>
      <c r="H28" s="145">
        <f t="shared" si="18"/>
        <v>0</v>
      </c>
      <c r="I28" s="145">
        <f t="shared" si="18"/>
        <v>0</v>
      </c>
      <c r="J28" s="145">
        <f t="shared" si="18"/>
        <v>0</v>
      </c>
      <c r="K28" s="145">
        <f t="shared" si="18"/>
        <v>0</v>
      </c>
      <c r="L28" s="145">
        <f t="shared" si="18"/>
        <v>0</v>
      </c>
      <c r="M28" s="145">
        <f t="shared" si="18"/>
        <v>0</v>
      </c>
      <c r="N28" s="145">
        <f t="shared" si="18"/>
        <v>0</v>
      </c>
      <c r="O28" s="145">
        <f t="shared" si="18"/>
        <v>0</v>
      </c>
      <c r="P28" s="145">
        <f t="shared" si="18"/>
        <v>0</v>
      </c>
      <c r="Q28" s="145">
        <f t="shared" si="18"/>
        <v>0</v>
      </c>
      <c r="R28" s="145">
        <f t="shared" si="18"/>
        <v>0</v>
      </c>
      <c r="S28" s="145">
        <f t="shared" si="18"/>
        <v>0</v>
      </c>
      <c r="T28" s="145">
        <f t="shared" si="18"/>
        <v>0</v>
      </c>
      <c r="U28" s="145">
        <f aca="true" t="shared" si="19" ref="U28:AC28">U27+U26</f>
        <v>0</v>
      </c>
      <c r="V28" s="145">
        <f t="shared" si="19"/>
        <v>0</v>
      </c>
      <c r="W28" s="145">
        <f t="shared" si="19"/>
        <v>0</v>
      </c>
      <c r="X28" s="145">
        <f t="shared" si="19"/>
        <v>0</v>
      </c>
      <c r="Y28" s="145">
        <f t="shared" si="19"/>
        <v>0</v>
      </c>
      <c r="Z28" s="145">
        <f t="shared" si="19"/>
        <v>0</v>
      </c>
      <c r="AA28" s="145">
        <f t="shared" si="19"/>
        <v>0</v>
      </c>
      <c r="AB28" s="145">
        <f t="shared" si="19"/>
        <v>0</v>
      </c>
      <c r="AC28" s="145">
        <f t="shared" si="19"/>
        <v>0</v>
      </c>
      <c r="AD28" s="145">
        <f>AD27+AD26</f>
        <v>0</v>
      </c>
      <c r="AE28" s="146">
        <f>AE27+AE26</f>
        <v>0</v>
      </c>
    </row>
    <row r="29" spans="2:31" ht="11.25">
      <c r="B29" s="134"/>
      <c r="C29" s="134"/>
      <c r="D29" s="134"/>
      <c r="E29" s="135"/>
      <c r="F29" s="136"/>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row>
    <row r="30" spans="2:31" ht="12" thickBot="1">
      <c r="B30" s="134"/>
      <c r="C30" s="134"/>
      <c r="D30" s="134"/>
      <c r="E30" s="135"/>
      <c r="F30" s="136"/>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row>
    <row r="31" spans="2:31" ht="12.75">
      <c r="B31" s="157" t="s">
        <v>10</v>
      </c>
      <c r="C31" s="158" t="str">
        <f>IF('0 Úvod'!$M$3="English",Slovnik!D67,Slovnik!C67)</f>
        <v>Celkové investiční náklady</v>
      </c>
      <c r="D31" s="159"/>
      <c r="E31" s="158"/>
      <c r="F31" s="160" t="s">
        <v>134</v>
      </c>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0"/>
    </row>
    <row r="32" spans="2:31" ht="13.5" customHeight="1" thickBot="1">
      <c r="B32" s="162" t="s">
        <v>17</v>
      </c>
      <c r="C32" s="163" t="str">
        <f>IF('0 Úvod'!$M$3="English",Slovnik!D68,Slovnik!C68)</f>
        <v>(běžné ceny)</v>
      </c>
      <c r="D32" s="1272" t="str">
        <f>IF('0 Úvod'!$M$3="English",Slovnik!D65,Slovnik!C65)</f>
        <v>Neoprávněné náklady</v>
      </c>
      <c r="E32" s="1264" t="str">
        <f>IF('0 Úvod'!$M$3="English",Slovnik!D66,Slovnik!C66)</f>
        <v>Oprávněné náklady</v>
      </c>
      <c r="F32" s="1275" t="str">
        <f>IF('0 Úvod'!$M$3="English",Slovnik!D64,Slovnik!C64)</f>
        <v>Celk. projekt. náklady</v>
      </c>
      <c r="G32" s="164">
        <f>G3</f>
        <v>2014</v>
      </c>
      <c r="H32" s="165">
        <f>G32+1</f>
        <v>2015</v>
      </c>
      <c r="I32" s="165">
        <f aca="true" t="shared" si="20" ref="I32:T32">H32+1</f>
        <v>2016</v>
      </c>
      <c r="J32" s="165">
        <f t="shared" si="20"/>
        <v>2017</v>
      </c>
      <c r="K32" s="165">
        <f t="shared" si="20"/>
        <v>2018</v>
      </c>
      <c r="L32" s="165">
        <f t="shared" si="20"/>
        <v>2019</v>
      </c>
      <c r="M32" s="165">
        <f t="shared" si="20"/>
        <v>2020</v>
      </c>
      <c r="N32" s="165">
        <f t="shared" si="20"/>
        <v>2021</v>
      </c>
      <c r="O32" s="165">
        <f t="shared" si="20"/>
        <v>2022</v>
      </c>
      <c r="P32" s="165">
        <f t="shared" si="20"/>
        <v>2023</v>
      </c>
      <c r="Q32" s="165">
        <f t="shared" si="20"/>
        <v>2024</v>
      </c>
      <c r="R32" s="165">
        <f t="shared" si="20"/>
        <v>2025</v>
      </c>
      <c r="S32" s="165">
        <f t="shared" si="20"/>
        <v>2026</v>
      </c>
      <c r="T32" s="165">
        <f t="shared" si="20"/>
        <v>2027</v>
      </c>
      <c r="U32" s="165">
        <f aca="true" t="shared" si="21" ref="U32:AE32">T32+1</f>
        <v>2028</v>
      </c>
      <c r="V32" s="165">
        <f t="shared" si="21"/>
        <v>2029</v>
      </c>
      <c r="W32" s="165">
        <f t="shared" si="21"/>
        <v>2030</v>
      </c>
      <c r="X32" s="165">
        <f t="shared" si="21"/>
        <v>2031</v>
      </c>
      <c r="Y32" s="165">
        <f t="shared" si="21"/>
        <v>2032</v>
      </c>
      <c r="Z32" s="165">
        <f t="shared" si="21"/>
        <v>2033</v>
      </c>
      <c r="AA32" s="165">
        <f t="shared" si="21"/>
        <v>2034</v>
      </c>
      <c r="AB32" s="165">
        <f t="shared" si="21"/>
        <v>2035</v>
      </c>
      <c r="AC32" s="165">
        <f t="shared" si="21"/>
        <v>2036</v>
      </c>
      <c r="AD32" s="165">
        <f t="shared" si="21"/>
        <v>2037</v>
      </c>
      <c r="AE32" s="166">
        <f t="shared" si="21"/>
        <v>2038</v>
      </c>
    </row>
    <row r="33" spans="2:31" ht="12.75" thickBot="1">
      <c r="B33" s="167"/>
      <c r="C33" s="168" t="str">
        <f>IF('0 Úvod'!$M$3="English",Slovnik!D69,Slovnik!C69)</f>
        <v>Tabulka H.1</v>
      </c>
      <c r="D33" s="1273"/>
      <c r="E33" s="1274"/>
      <c r="F33" s="1276"/>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70"/>
    </row>
    <row r="34" spans="2:31" ht="12">
      <c r="B34" s="701"/>
      <c r="C34" s="702" t="str">
        <f>IF('0 Úvod'!$M$3="English",Slovnik!D70,Slovnik!C70)</f>
        <v>Přípravná a projektová dokumentace</v>
      </c>
      <c r="D34" s="140">
        <f aca="true" t="shared" si="22" ref="D34:D42">F34-E34</f>
        <v>0</v>
      </c>
      <c r="E34" s="1183"/>
      <c r="F34" s="149">
        <f>SUM(G34:AE34,G50:AE50)</f>
        <v>0</v>
      </c>
      <c r="G34" s="1181"/>
      <c r="H34" s="1181"/>
      <c r="I34" s="1181"/>
      <c r="J34" s="1181"/>
      <c r="K34" s="1181"/>
      <c r="L34" s="1181"/>
      <c r="M34" s="1181"/>
      <c r="N34" s="1181"/>
      <c r="O34" s="1181"/>
      <c r="P34" s="1181"/>
      <c r="Q34" s="1181"/>
      <c r="R34" s="1181"/>
      <c r="S34" s="1181"/>
      <c r="T34" s="1181"/>
      <c r="U34" s="1181"/>
      <c r="V34" s="1181"/>
      <c r="W34" s="1181"/>
      <c r="X34" s="1181"/>
      <c r="Y34" s="1181"/>
      <c r="Z34" s="1181"/>
      <c r="AA34" s="1181"/>
      <c r="AB34" s="1181"/>
      <c r="AC34" s="1181"/>
      <c r="AD34" s="1181"/>
      <c r="AE34" s="1182"/>
    </row>
    <row r="35" spans="2:31" ht="12">
      <c r="B35" s="701"/>
      <c r="C35" s="702" t="str">
        <f>IF('0 Úvod'!$M$3="English",Slovnik!D71,Slovnik!C71)</f>
        <v>Zábory pozemků</v>
      </c>
      <c r="D35" s="140">
        <f t="shared" si="22"/>
        <v>0</v>
      </c>
      <c r="E35" s="1183"/>
      <c r="F35" s="149">
        <f>SUM(G35:AE35,G51:AE51)</f>
        <v>0</v>
      </c>
      <c r="G35" s="1181"/>
      <c r="H35" s="1181"/>
      <c r="I35" s="1181"/>
      <c r="J35" s="1181"/>
      <c r="K35" s="1181"/>
      <c r="L35" s="1181"/>
      <c r="M35" s="1181"/>
      <c r="N35" s="1181"/>
      <c r="O35" s="1181"/>
      <c r="P35" s="1181"/>
      <c r="Q35" s="1181"/>
      <c r="R35" s="1181"/>
      <c r="S35" s="1181"/>
      <c r="T35" s="1181"/>
      <c r="U35" s="1181"/>
      <c r="V35" s="1181"/>
      <c r="W35" s="1181"/>
      <c r="X35" s="1181"/>
      <c r="Y35" s="1181"/>
      <c r="Z35" s="1181"/>
      <c r="AA35" s="1181"/>
      <c r="AB35" s="1181"/>
      <c r="AC35" s="1181"/>
      <c r="AD35" s="1181"/>
      <c r="AE35" s="1182"/>
    </row>
    <row r="36" spans="2:31" ht="12">
      <c r="B36" s="701"/>
      <c r="C36" s="702" t="str">
        <f>IF('0 Úvod'!$M$3="English",Slovnik!D72,Slovnik!C72)</f>
        <v>Stavby a konstrukce</v>
      </c>
      <c r="D36" s="140">
        <f t="shared" si="22"/>
        <v>0</v>
      </c>
      <c r="E36" s="1183"/>
      <c r="F36" s="149">
        <f aca="true" t="shared" si="23" ref="F36:F42">SUM(G36:AE36,G52:AE52)</f>
        <v>0</v>
      </c>
      <c r="G36" s="1181"/>
      <c r="H36" s="1181"/>
      <c r="I36" s="1181"/>
      <c r="J36" s="1181"/>
      <c r="K36" s="1181"/>
      <c r="L36" s="1181"/>
      <c r="M36" s="1181"/>
      <c r="N36" s="1181"/>
      <c r="O36" s="1181"/>
      <c r="P36" s="1181"/>
      <c r="Q36" s="1181"/>
      <c r="R36" s="1181"/>
      <c r="S36" s="1181"/>
      <c r="T36" s="1181"/>
      <c r="U36" s="1181"/>
      <c r="V36" s="1181"/>
      <c r="W36" s="1181"/>
      <c r="X36" s="1181"/>
      <c r="Y36" s="1181"/>
      <c r="Z36" s="1181"/>
      <c r="AA36" s="1181"/>
      <c r="AB36" s="1181"/>
      <c r="AC36" s="1181"/>
      <c r="AD36" s="1181"/>
      <c r="AE36" s="1182"/>
    </row>
    <row r="37" spans="2:31" ht="12">
      <c r="B37" s="701"/>
      <c r="C37" s="702" t="str">
        <f>IF('0 Úvod'!$M$3="English",Slovnik!D73,Slovnik!C73)</f>
        <v>Stroje a zařízení</v>
      </c>
      <c r="D37" s="140">
        <f t="shared" si="22"/>
        <v>0</v>
      </c>
      <c r="E37" s="1183"/>
      <c r="F37" s="149">
        <f t="shared" si="23"/>
        <v>0</v>
      </c>
      <c r="G37" s="1181"/>
      <c r="H37" s="1181"/>
      <c r="I37" s="1181"/>
      <c r="J37" s="1181"/>
      <c r="K37" s="1181"/>
      <c r="L37" s="1181"/>
      <c r="M37" s="1181"/>
      <c r="N37" s="1181"/>
      <c r="O37" s="1181"/>
      <c r="P37" s="1181"/>
      <c r="Q37" s="1181"/>
      <c r="R37" s="1181"/>
      <c r="S37" s="1181"/>
      <c r="T37" s="1181"/>
      <c r="U37" s="1181"/>
      <c r="V37" s="1181"/>
      <c r="W37" s="1181"/>
      <c r="X37" s="1181"/>
      <c r="Y37" s="1181"/>
      <c r="Z37" s="1181"/>
      <c r="AA37" s="1181"/>
      <c r="AB37" s="1181"/>
      <c r="AC37" s="1181"/>
      <c r="AD37" s="1181"/>
      <c r="AE37" s="1182"/>
    </row>
    <row r="38" spans="2:31" ht="12">
      <c r="B38" s="701"/>
      <c r="C38" s="702" t="str">
        <f>IF('0 Úvod'!$M$3="English",Slovnik!D74,Slovnik!C74)</f>
        <v>Rezerva</v>
      </c>
      <c r="D38" s="140">
        <f t="shared" si="22"/>
        <v>0</v>
      </c>
      <c r="E38" s="1184"/>
      <c r="F38" s="149">
        <f t="shared" si="23"/>
        <v>0</v>
      </c>
      <c r="G38" s="1181"/>
      <c r="H38" s="1181"/>
      <c r="I38" s="1181"/>
      <c r="J38" s="1181"/>
      <c r="K38" s="1181"/>
      <c r="L38" s="1181"/>
      <c r="M38" s="1181"/>
      <c r="N38" s="1181"/>
      <c r="O38" s="1181"/>
      <c r="P38" s="1181"/>
      <c r="Q38" s="1181"/>
      <c r="R38" s="1181"/>
      <c r="S38" s="1181"/>
      <c r="T38" s="1181"/>
      <c r="U38" s="1181"/>
      <c r="V38" s="1181"/>
      <c r="W38" s="1181"/>
      <c r="X38" s="1181"/>
      <c r="Y38" s="1181"/>
      <c r="Z38" s="1181"/>
      <c r="AA38" s="1181"/>
      <c r="AB38" s="1181"/>
      <c r="AC38" s="1181"/>
      <c r="AD38" s="1181"/>
      <c r="AE38" s="1182"/>
    </row>
    <row r="39" spans="2:31" ht="12">
      <c r="B39" s="701"/>
      <c r="C39" s="702" t="str">
        <f>IF('0 Úvod'!$M$3="English",Slovnik!D75,Slovnik!C75)</f>
        <v>Úprava ceny (pokud existuje)</v>
      </c>
      <c r="D39" s="140">
        <f t="shared" si="22"/>
        <v>0</v>
      </c>
      <c r="E39" s="1184"/>
      <c r="F39" s="149">
        <f t="shared" si="23"/>
        <v>0</v>
      </c>
      <c r="G39" s="1181"/>
      <c r="H39" s="1181"/>
      <c r="I39" s="1181"/>
      <c r="J39" s="1181"/>
      <c r="K39" s="1181"/>
      <c r="L39" s="1181"/>
      <c r="M39" s="1181"/>
      <c r="N39" s="1181"/>
      <c r="O39" s="1181"/>
      <c r="P39" s="1181"/>
      <c r="Q39" s="1181"/>
      <c r="R39" s="1181"/>
      <c r="S39" s="1181"/>
      <c r="T39" s="1181"/>
      <c r="U39" s="1181"/>
      <c r="V39" s="1181"/>
      <c r="W39" s="1181"/>
      <c r="X39" s="1181"/>
      <c r="Y39" s="1181"/>
      <c r="Z39" s="1181"/>
      <c r="AA39" s="1181"/>
      <c r="AB39" s="1181"/>
      <c r="AC39" s="1181"/>
      <c r="AD39" s="1181"/>
      <c r="AE39" s="1182"/>
    </row>
    <row r="40" spans="2:31" ht="12">
      <c r="B40" s="701"/>
      <c r="C40" s="702" t="str">
        <f>IF('0 Úvod'!$M$3="English",Slovnik!D76,Slovnik!C76)</f>
        <v>Technická asistence</v>
      </c>
      <c r="D40" s="140">
        <f t="shared" si="22"/>
        <v>0</v>
      </c>
      <c r="E40" s="1184"/>
      <c r="F40" s="149">
        <f t="shared" si="23"/>
        <v>0</v>
      </c>
      <c r="G40" s="1181"/>
      <c r="H40" s="1181"/>
      <c r="I40" s="1181"/>
      <c r="J40" s="1181"/>
      <c r="K40" s="1181"/>
      <c r="L40" s="1181"/>
      <c r="M40" s="1181"/>
      <c r="N40" s="1181"/>
      <c r="O40" s="1181"/>
      <c r="P40" s="1181"/>
      <c r="Q40" s="1181"/>
      <c r="R40" s="1181"/>
      <c r="S40" s="1181"/>
      <c r="T40" s="1181"/>
      <c r="U40" s="1181"/>
      <c r="V40" s="1181"/>
      <c r="W40" s="1181"/>
      <c r="X40" s="1181"/>
      <c r="Y40" s="1181"/>
      <c r="Z40" s="1181"/>
      <c r="AA40" s="1181"/>
      <c r="AB40" s="1181"/>
      <c r="AC40" s="1181"/>
      <c r="AD40" s="1181"/>
      <c r="AE40" s="1182"/>
    </row>
    <row r="41" spans="2:31" ht="12">
      <c r="B41" s="701"/>
      <c r="C41" s="702" t="str">
        <f>IF('0 Úvod'!$M$3="English",Slovnik!D77,Slovnik!C77)</f>
        <v>Propagace</v>
      </c>
      <c r="D41" s="140">
        <f t="shared" si="22"/>
        <v>0</v>
      </c>
      <c r="E41" s="1184"/>
      <c r="F41" s="149">
        <f t="shared" si="23"/>
        <v>0</v>
      </c>
      <c r="G41" s="1181"/>
      <c r="H41" s="1181"/>
      <c r="I41" s="1181"/>
      <c r="J41" s="1181"/>
      <c r="K41" s="1181"/>
      <c r="L41" s="1181"/>
      <c r="M41" s="1181"/>
      <c r="N41" s="1181"/>
      <c r="O41" s="1181"/>
      <c r="P41" s="1181"/>
      <c r="Q41" s="1181"/>
      <c r="R41" s="1181"/>
      <c r="S41" s="1181"/>
      <c r="T41" s="1181"/>
      <c r="U41" s="1181"/>
      <c r="V41" s="1181"/>
      <c r="W41" s="1181"/>
      <c r="X41" s="1181"/>
      <c r="Y41" s="1181"/>
      <c r="Z41" s="1181"/>
      <c r="AA41" s="1181"/>
      <c r="AB41" s="1181"/>
      <c r="AC41" s="1181"/>
      <c r="AD41" s="1181"/>
      <c r="AE41" s="1182"/>
    </row>
    <row r="42" spans="2:31" ht="12">
      <c r="B42" s="701"/>
      <c r="C42" s="702" t="str">
        <f>IF('0 Úvod'!$M$3="English",Slovnik!D78,Slovnik!C78)</f>
        <v>Dozor během realizace stavby</v>
      </c>
      <c r="D42" s="140">
        <f t="shared" si="22"/>
        <v>0</v>
      </c>
      <c r="E42" s="1184"/>
      <c r="F42" s="149">
        <f t="shared" si="23"/>
        <v>0</v>
      </c>
      <c r="G42" s="1181"/>
      <c r="H42" s="1181"/>
      <c r="I42" s="1181"/>
      <c r="J42" s="1181"/>
      <c r="K42" s="1181"/>
      <c r="L42" s="1181"/>
      <c r="M42" s="1181"/>
      <c r="N42" s="1181"/>
      <c r="O42" s="1181"/>
      <c r="P42" s="1181"/>
      <c r="Q42" s="1181"/>
      <c r="R42" s="1181"/>
      <c r="S42" s="1181"/>
      <c r="T42" s="1181"/>
      <c r="U42" s="1181"/>
      <c r="V42" s="1181"/>
      <c r="W42" s="1181"/>
      <c r="X42" s="1181"/>
      <c r="Y42" s="1181"/>
      <c r="Z42" s="1181"/>
      <c r="AA42" s="1181"/>
      <c r="AB42" s="1181"/>
      <c r="AC42" s="1181"/>
      <c r="AD42" s="1181"/>
      <c r="AE42" s="1182"/>
    </row>
    <row r="43" spans="2:31" ht="12">
      <c r="B43" s="703"/>
      <c r="C43" s="1001" t="str">
        <f>IF('0 Úvod'!$M$3="English",Slovnik!D79,Slovnik!C79)</f>
        <v>Celkové investiční náklady (běžné ceny)</v>
      </c>
      <c r="D43" s="1004">
        <f>SUM(D34:D42)</f>
        <v>0</v>
      </c>
      <c r="E43" s="1004">
        <f>SUM(E34:E42)</f>
        <v>0</v>
      </c>
      <c r="F43" s="144">
        <f>SUM(G43:AE43,G59:AE59)</f>
        <v>0</v>
      </c>
      <c r="G43" s="133">
        <f aca="true" t="shared" si="24" ref="G43:T43">SUM(G34:G42)</f>
        <v>0</v>
      </c>
      <c r="H43" s="133">
        <f t="shared" si="24"/>
        <v>0</v>
      </c>
      <c r="I43" s="133">
        <f t="shared" si="24"/>
        <v>0</v>
      </c>
      <c r="J43" s="133">
        <f t="shared" si="24"/>
        <v>0</v>
      </c>
      <c r="K43" s="133">
        <f t="shared" si="24"/>
        <v>0</v>
      </c>
      <c r="L43" s="133">
        <f t="shared" si="24"/>
        <v>0</v>
      </c>
      <c r="M43" s="133">
        <f t="shared" si="24"/>
        <v>0</v>
      </c>
      <c r="N43" s="133">
        <f t="shared" si="24"/>
        <v>0</v>
      </c>
      <c r="O43" s="133">
        <f t="shared" si="24"/>
        <v>0</v>
      </c>
      <c r="P43" s="133">
        <f t="shared" si="24"/>
        <v>0</v>
      </c>
      <c r="Q43" s="133">
        <f t="shared" si="24"/>
        <v>0</v>
      </c>
      <c r="R43" s="133">
        <f t="shared" si="24"/>
        <v>0</v>
      </c>
      <c r="S43" s="133">
        <f t="shared" si="24"/>
        <v>0</v>
      </c>
      <c r="T43" s="133">
        <f t="shared" si="24"/>
        <v>0</v>
      </c>
      <c r="U43" s="133">
        <f aca="true" t="shared" si="25" ref="U43:AC43">SUM(U34:U42)</f>
        <v>0</v>
      </c>
      <c r="V43" s="133">
        <f t="shared" si="25"/>
        <v>0</v>
      </c>
      <c r="W43" s="133">
        <f t="shared" si="25"/>
        <v>0</v>
      </c>
      <c r="X43" s="133">
        <f t="shared" si="25"/>
        <v>0</v>
      </c>
      <c r="Y43" s="133">
        <f t="shared" si="25"/>
        <v>0</v>
      </c>
      <c r="Z43" s="133">
        <f t="shared" si="25"/>
        <v>0</v>
      </c>
      <c r="AA43" s="133">
        <f t="shared" si="25"/>
        <v>0</v>
      </c>
      <c r="AB43" s="133">
        <f t="shared" si="25"/>
        <v>0</v>
      </c>
      <c r="AC43" s="133">
        <f t="shared" si="25"/>
        <v>0</v>
      </c>
      <c r="AD43" s="133">
        <f>SUM(AD34:AD42)</f>
        <v>0</v>
      </c>
      <c r="AE43" s="154">
        <f>SUM(AE34:AE42)</f>
        <v>0</v>
      </c>
    </row>
    <row r="44" spans="2:31" ht="12.75" thickBot="1">
      <c r="B44" s="705"/>
      <c r="C44" s="1002" t="str">
        <f>IF('0 Úvod'!$M$3="English",Slovnik!D80,Slovnik!C80)</f>
        <v>DPH </v>
      </c>
      <c r="D44" s="1005">
        <f>D43*D27</f>
        <v>0</v>
      </c>
      <c r="E44" s="1005">
        <f>E43*D27</f>
        <v>0</v>
      </c>
      <c r="F44" s="150">
        <f>SUM(G44:AE44,G60:AE60)</f>
        <v>0</v>
      </c>
      <c r="G44" s="132">
        <f>G43*$D27</f>
        <v>0</v>
      </c>
      <c r="H44" s="132">
        <f>H43*$D27</f>
        <v>0</v>
      </c>
      <c r="I44" s="132">
        <f aca="true" t="shared" si="26" ref="I44:AD44">I43*$D27</f>
        <v>0</v>
      </c>
      <c r="J44" s="132">
        <f t="shared" si="26"/>
        <v>0</v>
      </c>
      <c r="K44" s="132">
        <f t="shared" si="26"/>
        <v>0</v>
      </c>
      <c r="L44" s="132">
        <f t="shared" si="26"/>
        <v>0</v>
      </c>
      <c r="M44" s="132">
        <f t="shared" si="26"/>
        <v>0</v>
      </c>
      <c r="N44" s="132">
        <f t="shared" si="26"/>
        <v>0</v>
      </c>
      <c r="O44" s="132">
        <f t="shared" si="26"/>
        <v>0</v>
      </c>
      <c r="P44" s="132">
        <f t="shared" si="26"/>
        <v>0</v>
      </c>
      <c r="Q44" s="132">
        <f t="shared" si="26"/>
        <v>0</v>
      </c>
      <c r="R44" s="132">
        <f t="shared" si="26"/>
        <v>0</v>
      </c>
      <c r="S44" s="132">
        <f t="shared" si="26"/>
        <v>0</v>
      </c>
      <c r="T44" s="132">
        <f t="shared" si="26"/>
        <v>0</v>
      </c>
      <c r="U44" s="132">
        <f t="shared" si="26"/>
        <v>0</v>
      </c>
      <c r="V44" s="132">
        <f t="shared" si="26"/>
        <v>0</v>
      </c>
      <c r="W44" s="132">
        <f t="shared" si="26"/>
        <v>0</v>
      </c>
      <c r="X44" s="132">
        <f t="shared" si="26"/>
        <v>0</v>
      </c>
      <c r="Y44" s="132">
        <f t="shared" si="26"/>
        <v>0</v>
      </c>
      <c r="Z44" s="132">
        <f t="shared" si="26"/>
        <v>0</v>
      </c>
      <c r="AA44" s="132">
        <f t="shared" si="26"/>
        <v>0</v>
      </c>
      <c r="AB44" s="132">
        <f t="shared" si="26"/>
        <v>0</v>
      </c>
      <c r="AC44" s="132">
        <f t="shared" si="26"/>
        <v>0</v>
      </c>
      <c r="AD44" s="132">
        <f t="shared" si="26"/>
        <v>0</v>
      </c>
      <c r="AE44" s="143">
        <f>AE43*$D27</f>
        <v>0</v>
      </c>
    </row>
    <row r="45" spans="2:31" ht="12.75" thickBot="1">
      <c r="B45" s="706"/>
      <c r="C45" s="1003" t="str">
        <f>IF('0 Úvod'!$M$3="English",Slovnik!D81,Slovnik!C81)</f>
        <v>Celkové investiční náklady vč. DPH (běžné ceny)</v>
      </c>
      <c r="D45" s="1006">
        <f>SUM(D43:D44)</f>
        <v>0</v>
      </c>
      <c r="E45" s="1006">
        <f>SUM(E43:E44)</f>
        <v>0</v>
      </c>
      <c r="F45" s="151">
        <f>SUM(G45:AE45,G61:AE61)</f>
        <v>0</v>
      </c>
      <c r="G45" s="152">
        <f aca="true" t="shared" si="27" ref="G45:T45">G44+G43</f>
        <v>0</v>
      </c>
      <c r="H45" s="152">
        <f t="shared" si="27"/>
        <v>0</v>
      </c>
      <c r="I45" s="152">
        <f t="shared" si="27"/>
        <v>0</v>
      </c>
      <c r="J45" s="152">
        <f t="shared" si="27"/>
        <v>0</v>
      </c>
      <c r="K45" s="152">
        <f t="shared" si="27"/>
        <v>0</v>
      </c>
      <c r="L45" s="152">
        <f t="shared" si="27"/>
        <v>0</v>
      </c>
      <c r="M45" s="152">
        <f t="shared" si="27"/>
        <v>0</v>
      </c>
      <c r="N45" s="152">
        <f t="shared" si="27"/>
        <v>0</v>
      </c>
      <c r="O45" s="152">
        <f t="shared" si="27"/>
        <v>0</v>
      </c>
      <c r="P45" s="152">
        <f t="shared" si="27"/>
        <v>0</v>
      </c>
      <c r="Q45" s="152">
        <f t="shared" si="27"/>
        <v>0</v>
      </c>
      <c r="R45" s="152">
        <f t="shared" si="27"/>
        <v>0</v>
      </c>
      <c r="S45" s="152">
        <f t="shared" si="27"/>
        <v>0</v>
      </c>
      <c r="T45" s="152">
        <f t="shared" si="27"/>
        <v>0</v>
      </c>
      <c r="U45" s="152">
        <f aca="true" t="shared" si="28" ref="U45:AC45">U44+U43</f>
        <v>0</v>
      </c>
      <c r="V45" s="152">
        <f t="shared" si="28"/>
        <v>0</v>
      </c>
      <c r="W45" s="152">
        <f t="shared" si="28"/>
        <v>0</v>
      </c>
      <c r="X45" s="152">
        <f t="shared" si="28"/>
        <v>0</v>
      </c>
      <c r="Y45" s="152">
        <f t="shared" si="28"/>
        <v>0</v>
      </c>
      <c r="Z45" s="152">
        <f t="shared" si="28"/>
        <v>0</v>
      </c>
      <c r="AA45" s="152">
        <f t="shared" si="28"/>
        <v>0</v>
      </c>
      <c r="AB45" s="152">
        <f t="shared" si="28"/>
        <v>0</v>
      </c>
      <c r="AC45" s="152">
        <f t="shared" si="28"/>
        <v>0</v>
      </c>
      <c r="AD45" s="152">
        <f>AD44+AD43</f>
        <v>0</v>
      </c>
      <c r="AE45" s="153">
        <f>AE44+AE43</f>
        <v>0</v>
      </c>
    </row>
    <row r="46" spans="2:31" ht="12" thickBot="1">
      <c r="B46" s="134"/>
      <c r="C46" s="134"/>
      <c r="D46" s="134"/>
      <c r="E46" s="135"/>
      <c r="F46" s="136"/>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row>
    <row r="47" spans="2:31" ht="12.75">
      <c r="B47" s="157" t="s">
        <v>10</v>
      </c>
      <c r="C47" s="158" t="str">
        <f>C31</f>
        <v>Celkové investiční náklady</v>
      </c>
      <c r="D47" s="158"/>
      <c r="E47" s="158"/>
      <c r="F47" s="17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0"/>
    </row>
    <row r="48" spans="2:31" ht="13.5" thickBot="1">
      <c r="B48" s="162" t="s">
        <v>19</v>
      </c>
      <c r="C48" s="163" t="str">
        <f>C32</f>
        <v>(běžné ceny)</v>
      </c>
      <c r="D48" s="1264"/>
      <c r="E48" s="1264"/>
      <c r="F48" s="1277"/>
      <c r="G48" s="164">
        <f>AE32+1</f>
        <v>2039</v>
      </c>
      <c r="H48" s="165">
        <f>G48+1</f>
        <v>2040</v>
      </c>
      <c r="I48" s="165">
        <f aca="true" t="shared" si="29" ref="I48:T48">H48+1</f>
        <v>2041</v>
      </c>
      <c r="J48" s="165">
        <f t="shared" si="29"/>
        <v>2042</v>
      </c>
      <c r="K48" s="165">
        <f t="shared" si="29"/>
        <v>2043</v>
      </c>
      <c r="L48" s="165">
        <f t="shared" si="29"/>
        <v>2044</v>
      </c>
      <c r="M48" s="165">
        <f t="shared" si="29"/>
        <v>2045</v>
      </c>
      <c r="N48" s="165">
        <f t="shared" si="29"/>
        <v>2046</v>
      </c>
      <c r="O48" s="165">
        <f t="shared" si="29"/>
        <v>2047</v>
      </c>
      <c r="P48" s="165">
        <f t="shared" si="29"/>
        <v>2048</v>
      </c>
      <c r="Q48" s="165">
        <f t="shared" si="29"/>
        <v>2049</v>
      </c>
      <c r="R48" s="165">
        <f t="shared" si="29"/>
        <v>2050</v>
      </c>
      <c r="S48" s="165">
        <f t="shared" si="29"/>
        <v>2051</v>
      </c>
      <c r="T48" s="165">
        <f t="shared" si="29"/>
        <v>2052</v>
      </c>
      <c r="U48" s="165">
        <f aca="true" t="shared" si="30" ref="U48:AE48">T48+1</f>
        <v>2053</v>
      </c>
      <c r="V48" s="165">
        <f t="shared" si="30"/>
        <v>2054</v>
      </c>
      <c r="W48" s="165">
        <f t="shared" si="30"/>
        <v>2055</v>
      </c>
      <c r="X48" s="165">
        <f t="shared" si="30"/>
        <v>2056</v>
      </c>
      <c r="Y48" s="165">
        <f t="shared" si="30"/>
        <v>2057</v>
      </c>
      <c r="Z48" s="165">
        <f t="shared" si="30"/>
        <v>2058</v>
      </c>
      <c r="AA48" s="165">
        <f t="shared" si="30"/>
        <v>2059</v>
      </c>
      <c r="AB48" s="165">
        <f t="shared" si="30"/>
        <v>2060</v>
      </c>
      <c r="AC48" s="165">
        <f t="shared" si="30"/>
        <v>2061</v>
      </c>
      <c r="AD48" s="165">
        <f t="shared" si="30"/>
        <v>2062</v>
      </c>
      <c r="AE48" s="166">
        <f t="shared" si="30"/>
        <v>2063</v>
      </c>
    </row>
    <row r="49" spans="2:31" ht="12.75" thickBot="1">
      <c r="B49" s="172"/>
      <c r="C49" s="173" t="str">
        <f>C33</f>
        <v>Tabulka H.1</v>
      </c>
      <c r="D49" s="1264"/>
      <c r="E49" s="1264"/>
      <c r="F49" s="1277"/>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5"/>
    </row>
    <row r="50" spans="2:31" ht="12">
      <c r="B50" s="707"/>
      <c r="C50" s="708" t="str">
        <f>C34</f>
        <v>Přípravná a projektová dokumentace</v>
      </c>
      <c r="D50" s="709"/>
      <c r="E50" s="709"/>
      <c r="F50" s="710"/>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80"/>
    </row>
    <row r="51" spans="2:31" ht="12">
      <c r="B51" s="701"/>
      <c r="C51" s="702" t="str">
        <f>C35</f>
        <v>Zábory pozemků</v>
      </c>
      <c r="D51" s="711"/>
      <c r="E51" s="711"/>
      <c r="F51" s="712"/>
      <c r="G51" s="1181"/>
      <c r="H51" s="1181"/>
      <c r="I51" s="1181"/>
      <c r="J51" s="1181"/>
      <c r="K51" s="1181"/>
      <c r="L51" s="1181"/>
      <c r="M51" s="1181"/>
      <c r="N51" s="1181"/>
      <c r="O51" s="1181"/>
      <c r="P51" s="1181"/>
      <c r="Q51" s="1181"/>
      <c r="R51" s="1181"/>
      <c r="S51" s="1181"/>
      <c r="T51" s="1181"/>
      <c r="U51" s="1181"/>
      <c r="V51" s="1181"/>
      <c r="W51" s="1181"/>
      <c r="X51" s="1181"/>
      <c r="Y51" s="1181"/>
      <c r="Z51" s="1181"/>
      <c r="AA51" s="1181"/>
      <c r="AB51" s="1181"/>
      <c r="AC51" s="1181"/>
      <c r="AD51" s="1181"/>
      <c r="AE51" s="1182"/>
    </row>
    <row r="52" spans="2:31" ht="12">
      <c r="B52" s="701"/>
      <c r="C52" s="702" t="str">
        <f aca="true" t="shared" si="31" ref="C52:C57">C36</f>
        <v>Stavby a konstrukce</v>
      </c>
      <c r="D52" s="711"/>
      <c r="E52" s="711"/>
      <c r="F52" s="712"/>
      <c r="G52" s="1181"/>
      <c r="H52" s="1181"/>
      <c r="I52" s="1181"/>
      <c r="J52" s="1181"/>
      <c r="K52" s="1181"/>
      <c r="L52" s="1181"/>
      <c r="M52" s="1181"/>
      <c r="N52" s="1181"/>
      <c r="O52" s="1181"/>
      <c r="P52" s="1181"/>
      <c r="Q52" s="1181"/>
      <c r="R52" s="1181"/>
      <c r="S52" s="1181"/>
      <c r="T52" s="1181"/>
      <c r="U52" s="1181"/>
      <c r="V52" s="1181"/>
      <c r="W52" s="1181"/>
      <c r="X52" s="1181"/>
      <c r="Y52" s="1181"/>
      <c r="Z52" s="1181"/>
      <c r="AA52" s="1181"/>
      <c r="AB52" s="1181"/>
      <c r="AC52" s="1181"/>
      <c r="AD52" s="1181"/>
      <c r="AE52" s="1182"/>
    </row>
    <row r="53" spans="2:31" ht="12">
      <c r="B53" s="701"/>
      <c r="C53" s="702" t="str">
        <f t="shared" si="31"/>
        <v>Stroje a zařízení</v>
      </c>
      <c r="D53" s="711"/>
      <c r="E53" s="711"/>
      <c r="F53" s="712"/>
      <c r="G53" s="1181"/>
      <c r="H53" s="1181"/>
      <c r="I53" s="1181"/>
      <c r="J53" s="1181"/>
      <c r="K53" s="1181"/>
      <c r="L53" s="1181"/>
      <c r="M53" s="1181"/>
      <c r="N53" s="1181"/>
      <c r="O53" s="1181"/>
      <c r="P53" s="1181"/>
      <c r="Q53" s="1181"/>
      <c r="R53" s="1181"/>
      <c r="S53" s="1181"/>
      <c r="T53" s="1181"/>
      <c r="U53" s="1181"/>
      <c r="V53" s="1181"/>
      <c r="W53" s="1181"/>
      <c r="X53" s="1181"/>
      <c r="Y53" s="1181"/>
      <c r="Z53" s="1181"/>
      <c r="AA53" s="1181"/>
      <c r="AB53" s="1181"/>
      <c r="AC53" s="1181"/>
      <c r="AD53" s="1181"/>
      <c r="AE53" s="1182"/>
    </row>
    <row r="54" spans="2:31" ht="12">
      <c r="B54" s="701"/>
      <c r="C54" s="702" t="str">
        <f t="shared" si="31"/>
        <v>Rezerva</v>
      </c>
      <c r="D54" s="713"/>
      <c r="E54" s="713"/>
      <c r="F54" s="712"/>
      <c r="G54" s="1181"/>
      <c r="H54" s="1181"/>
      <c r="I54" s="1181"/>
      <c r="J54" s="1181"/>
      <c r="K54" s="1181"/>
      <c r="L54" s="1181"/>
      <c r="M54" s="1181"/>
      <c r="N54" s="1181"/>
      <c r="O54" s="1181"/>
      <c r="P54" s="1181"/>
      <c r="Q54" s="1181"/>
      <c r="R54" s="1181"/>
      <c r="S54" s="1181"/>
      <c r="T54" s="1181"/>
      <c r="U54" s="1181"/>
      <c r="V54" s="1181"/>
      <c r="W54" s="1181"/>
      <c r="X54" s="1181"/>
      <c r="Y54" s="1181"/>
      <c r="Z54" s="1181"/>
      <c r="AA54" s="1181"/>
      <c r="AB54" s="1181"/>
      <c r="AC54" s="1181"/>
      <c r="AD54" s="1181"/>
      <c r="AE54" s="1182"/>
    </row>
    <row r="55" spans="2:31" ht="12">
      <c r="B55" s="701"/>
      <c r="C55" s="702" t="str">
        <f t="shared" si="31"/>
        <v>Úprava ceny (pokud existuje)</v>
      </c>
      <c r="D55" s="713"/>
      <c r="E55" s="713"/>
      <c r="F55" s="712"/>
      <c r="G55" s="1181"/>
      <c r="H55" s="1181"/>
      <c r="I55" s="1181"/>
      <c r="J55" s="1181"/>
      <c r="K55" s="1181"/>
      <c r="L55" s="1181"/>
      <c r="M55" s="1181"/>
      <c r="N55" s="1181"/>
      <c r="O55" s="1181"/>
      <c r="P55" s="1181"/>
      <c r="Q55" s="1181"/>
      <c r="R55" s="1181"/>
      <c r="S55" s="1181"/>
      <c r="T55" s="1181"/>
      <c r="U55" s="1181"/>
      <c r="V55" s="1181"/>
      <c r="W55" s="1181"/>
      <c r="X55" s="1181"/>
      <c r="Y55" s="1181"/>
      <c r="Z55" s="1181"/>
      <c r="AA55" s="1181"/>
      <c r="AB55" s="1181"/>
      <c r="AC55" s="1181"/>
      <c r="AD55" s="1181"/>
      <c r="AE55" s="1182"/>
    </row>
    <row r="56" spans="2:31" ht="12">
      <c r="B56" s="701"/>
      <c r="C56" s="702" t="str">
        <f t="shared" si="31"/>
        <v>Technická asistence</v>
      </c>
      <c r="D56" s="711"/>
      <c r="E56" s="711"/>
      <c r="F56" s="712"/>
      <c r="G56" s="1181"/>
      <c r="H56" s="1181"/>
      <c r="I56" s="1181"/>
      <c r="J56" s="1181"/>
      <c r="K56" s="1181"/>
      <c r="L56" s="1181"/>
      <c r="M56" s="1181"/>
      <c r="N56" s="1181"/>
      <c r="O56" s="1181"/>
      <c r="P56" s="1181"/>
      <c r="Q56" s="1181"/>
      <c r="R56" s="1181"/>
      <c r="S56" s="1181"/>
      <c r="T56" s="1181"/>
      <c r="U56" s="1181"/>
      <c r="V56" s="1181"/>
      <c r="W56" s="1181"/>
      <c r="X56" s="1181"/>
      <c r="Y56" s="1181"/>
      <c r="Z56" s="1181"/>
      <c r="AA56" s="1181"/>
      <c r="AB56" s="1181"/>
      <c r="AC56" s="1181"/>
      <c r="AD56" s="1181"/>
      <c r="AE56" s="1182"/>
    </row>
    <row r="57" spans="2:31" ht="12">
      <c r="B57" s="701"/>
      <c r="C57" s="702" t="str">
        <f t="shared" si="31"/>
        <v>Propagace</v>
      </c>
      <c r="D57" s="713"/>
      <c r="E57" s="713"/>
      <c r="F57" s="712"/>
      <c r="G57" s="1181"/>
      <c r="H57" s="1181"/>
      <c r="I57" s="1181"/>
      <c r="J57" s="1181"/>
      <c r="K57" s="1181"/>
      <c r="L57" s="1181"/>
      <c r="M57" s="1181"/>
      <c r="N57" s="1181"/>
      <c r="O57" s="1181"/>
      <c r="P57" s="1181"/>
      <c r="Q57" s="1181"/>
      <c r="R57" s="1181"/>
      <c r="S57" s="1181"/>
      <c r="T57" s="1181"/>
      <c r="U57" s="1181"/>
      <c r="V57" s="1181"/>
      <c r="W57" s="1181"/>
      <c r="X57" s="1181"/>
      <c r="Y57" s="1181"/>
      <c r="Z57" s="1181"/>
      <c r="AA57" s="1181"/>
      <c r="AB57" s="1181"/>
      <c r="AC57" s="1181"/>
      <c r="AD57" s="1181"/>
      <c r="AE57" s="1182"/>
    </row>
    <row r="58" spans="2:31" ht="12">
      <c r="B58" s="701"/>
      <c r="C58" s="702" t="str">
        <f>C42</f>
        <v>Dozor během realizace stavby</v>
      </c>
      <c r="D58" s="713"/>
      <c r="E58" s="713"/>
      <c r="F58" s="712"/>
      <c r="G58" s="1181"/>
      <c r="H58" s="1181"/>
      <c r="I58" s="1181"/>
      <c r="J58" s="1181"/>
      <c r="K58" s="1181"/>
      <c r="L58" s="1181"/>
      <c r="M58" s="1181"/>
      <c r="N58" s="1181"/>
      <c r="O58" s="1181"/>
      <c r="P58" s="1181"/>
      <c r="Q58" s="1181"/>
      <c r="R58" s="1181"/>
      <c r="S58" s="1181"/>
      <c r="T58" s="1181"/>
      <c r="U58" s="1181"/>
      <c r="V58" s="1181"/>
      <c r="W58" s="1181"/>
      <c r="X58" s="1181"/>
      <c r="Y58" s="1181"/>
      <c r="Z58" s="1181"/>
      <c r="AA58" s="1181"/>
      <c r="AB58" s="1181"/>
      <c r="AC58" s="1181"/>
      <c r="AD58" s="1181"/>
      <c r="AE58" s="1182"/>
    </row>
    <row r="59" spans="2:31" ht="12">
      <c r="B59" s="714"/>
      <c r="C59" s="704" t="str">
        <f>C43</f>
        <v>Celkové investiční náklady (běžné ceny)</v>
      </c>
      <c r="D59" s="715"/>
      <c r="E59" s="715"/>
      <c r="F59" s="716"/>
      <c r="G59" s="142">
        <f aca="true" t="shared" si="32" ref="G59:T59">SUM(G50:G58)</f>
        <v>0</v>
      </c>
      <c r="H59" s="142">
        <f t="shared" si="32"/>
        <v>0</v>
      </c>
      <c r="I59" s="142">
        <f t="shared" si="32"/>
        <v>0</v>
      </c>
      <c r="J59" s="142">
        <f t="shared" si="32"/>
        <v>0</v>
      </c>
      <c r="K59" s="142">
        <f t="shared" si="32"/>
        <v>0</v>
      </c>
      <c r="L59" s="142">
        <f t="shared" si="32"/>
        <v>0</v>
      </c>
      <c r="M59" s="142">
        <f t="shared" si="32"/>
        <v>0</v>
      </c>
      <c r="N59" s="142">
        <f t="shared" si="32"/>
        <v>0</v>
      </c>
      <c r="O59" s="142">
        <f t="shared" si="32"/>
        <v>0</v>
      </c>
      <c r="P59" s="142">
        <f t="shared" si="32"/>
        <v>0</v>
      </c>
      <c r="Q59" s="142">
        <f t="shared" si="32"/>
        <v>0</v>
      </c>
      <c r="R59" s="142">
        <f t="shared" si="32"/>
        <v>0</v>
      </c>
      <c r="S59" s="142">
        <f t="shared" si="32"/>
        <v>0</v>
      </c>
      <c r="T59" s="142">
        <f t="shared" si="32"/>
        <v>0</v>
      </c>
      <c r="U59" s="142">
        <f aca="true" t="shared" si="33" ref="U59:AC59">SUM(U50:U58)</f>
        <v>0</v>
      </c>
      <c r="V59" s="142">
        <f t="shared" si="33"/>
        <v>0</v>
      </c>
      <c r="W59" s="142">
        <f t="shared" si="33"/>
        <v>0</v>
      </c>
      <c r="X59" s="142">
        <f t="shared" si="33"/>
        <v>0</v>
      </c>
      <c r="Y59" s="142">
        <f t="shared" si="33"/>
        <v>0</v>
      </c>
      <c r="Z59" s="142">
        <f t="shared" si="33"/>
        <v>0</v>
      </c>
      <c r="AA59" s="142">
        <f t="shared" si="33"/>
        <v>0</v>
      </c>
      <c r="AB59" s="142">
        <f t="shared" si="33"/>
        <v>0</v>
      </c>
      <c r="AC59" s="142">
        <f t="shared" si="33"/>
        <v>0</v>
      </c>
      <c r="AD59" s="142">
        <f>SUM(AD50:AD58)</f>
        <v>0</v>
      </c>
      <c r="AE59" s="141">
        <f>SUM(AE50:AE58)</f>
        <v>0</v>
      </c>
    </row>
    <row r="60" spans="2:31" ht="12.75" thickBot="1">
      <c r="B60" s="717"/>
      <c r="C60" s="718" t="str">
        <f>C44</f>
        <v>DPH </v>
      </c>
      <c r="D60" s="719"/>
      <c r="E60" s="719"/>
      <c r="F60" s="720"/>
      <c r="G60" s="147">
        <f>G59*$D27</f>
        <v>0</v>
      </c>
      <c r="H60" s="147">
        <f>H59*$D27</f>
        <v>0</v>
      </c>
      <c r="I60" s="147">
        <f aca="true" t="shared" si="34" ref="I60:AD60">I59*$D27</f>
        <v>0</v>
      </c>
      <c r="J60" s="147">
        <f t="shared" si="34"/>
        <v>0</v>
      </c>
      <c r="K60" s="147">
        <f t="shared" si="34"/>
        <v>0</v>
      </c>
      <c r="L60" s="147">
        <f t="shared" si="34"/>
        <v>0</v>
      </c>
      <c r="M60" s="147">
        <f t="shared" si="34"/>
        <v>0</v>
      </c>
      <c r="N60" s="147">
        <f t="shared" si="34"/>
        <v>0</v>
      </c>
      <c r="O60" s="147">
        <f t="shared" si="34"/>
        <v>0</v>
      </c>
      <c r="P60" s="147">
        <f t="shared" si="34"/>
        <v>0</v>
      </c>
      <c r="Q60" s="147">
        <f t="shared" si="34"/>
        <v>0</v>
      </c>
      <c r="R60" s="147">
        <f t="shared" si="34"/>
        <v>0</v>
      </c>
      <c r="S60" s="147">
        <f t="shared" si="34"/>
        <v>0</v>
      </c>
      <c r="T60" s="147">
        <f t="shared" si="34"/>
        <v>0</v>
      </c>
      <c r="U60" s="147">
        <f t="shared" si="34"/>
        <v>0</v>
      </c>
      <c r="V60" s="147">
        <f t="shared" si="34"/>
        <v>0</v>
      </c>
      <c r="W60" s="147">
        <f t="shared" si="34"/>
        <v>0</v>
      </c>
      <c r="X60" s="147">
        <f t="shared" si="34"/>
        <v>0</v>
      </c>
      <c r="Y60" s="147">
        <f t="shared" si="34"/>
        <v>0</v>
      </c>
      <c r="Z60" s="147">
        <f t="shared" si="34"/>
        <v>0</v>
      </c>
      <c r="AA60" s="147">
        <f t="shared" si="34"/>
        <v>0</v>
      </c>
      <c r="AB60" s="147">
        <f t="shared" si="34"/>
        <v>0</v>
      </c>
      <c r="AC60" s="147">
        <f t="shared" si="34"/>
        <v>0</v>
      </c>
      <c r="AD60" s="147">
        <f t="shared" si="34"/>
        <v>0</v>
      </c>
      <c r="AE60" s="148">
        <f>AE59*$D27</f>
        <v>0</v>
      </c>
    </row>
    <row r="61" spans="2:31" ht="12.75" thickBot="1">
      <c r="B61" s="721"/>
      <c r="C61" s="722" t="str">
        <f>C45</f>
        <v>Celkové investiční náklady vč. DPH (běžné ceny)</v>
      </c>
      <c r="D61" s="723"/>
      <c r="E61" s="723"/>
      <c r="F61" s="724"/>
      <c r="G61" s="145">
        <f aca="true" t="shared" si="35" ref="G61:T61">G60+G59</f>
        <v>0</v>
      </c>
      <c r="H61" s="145">
        <f t="shared" si="35"/>
        <v>0</v>
      </c>
      <c r="I61" s="145">
        <f t="shared" si="35"/>
        <v>0</v>
      </c>
      <c r="J61" s="145">
        <f t="shared" si="35"/>
        <v>0</v>
      </c>
      <c r="K61" s="145">
        <f t="shared" si="35"/>
        <v>0</v>
      </c>
      <c r="L61" s="145">
        <f t="shared" si="35"/>
        <v>0</v>
      </c>
      <c r="M61" s="145">
        <f t="shared" si="35"/>
        <v>0</v>
      </c>
      <c r="N61" s="145">
        <f t="shared" si="35"/>
        <v>0</v>
      </c>
      <c r="O61" s="145">
        <f t="shared" si="35"/>
        <v>0</v>
      </c>
      <c r="P61" s="145">
        <f t="shared" si="35"/>
        <v>0</v>
      </c>
      <c r="Q61" s="145">
        <f t="shared" si="35"/>
        <v>0</v>
      </c>
      <c r="R61" s="145">
        <f t="shared" si="35"/>
        <v>0</v>
      </c>
      <c r="S61" s="145">
        <f t="shared" si="35"/>
        <v>0</v>
      </c>
      <c r="T61" s="145">
        <f t="shared" si="35"/>
        <v>0</v>
      </c>
      <c r="U61" s="145">
        <f aca="true" t="shared" si="36" ref="U61:AC61">U60+U59</f>
        <v>0</v>
      </c>
      <c r="V61" s="145">
        <f t="shared" si="36"/>
        <v>0</v>
      </c>
      <c r="W61" s="145">
        <f t="shared" si="36"/>
        <v>0</v>
      </c>
      <c r="X61" s="145">
        <f t="shared" si="36"/>
        <v>0</v>
      </c>
      <c r="Y61" s="145">
        <f t="shared" si="36"/>
        <v>0</v>
      </c>
      <c r="Z61" s="145">
        <f t="shared" si="36"/>
        <v>0</v>
      </c>
      <c r="AA61" s="145">
        <f t="shared" si="36"/>
        <v>0</v>
      </c>
      <c r="AB61" s="145">
        <f t="shared" si="36"/>
        <v>0</v>
      </c>
      <c r="AC61" s="145">
        <f t="shared" si="36"/>
        <v>0</v>
      </c>
      <c r="AD61" s="145">
        <f>AD60+AD59</f>
        <v>0</v>
      </c>
      <c r="AE61" s="146">
        <f>AE60+AE59</f>
        <v>0</v>
      </c>
    </row>
    <row r="62" spans="2:31" ht="11.25">
      <c r="B62" s="134"/>
      <c r="C62" s="134"/>
      <c r="D62" s="134"/>
      <c r="E62" s="135"/>
      <c r="F62" s="136"/>
      <c r="G62" s="137"/>
      <c r="H62" s="137"/>
      <c r="I62" s="137"/>
      <c r="J62" s="137"/>
      <c r="K62" s="137"/>
      <c r="L62" s="137"/>
      <c r="M62" s="137"/>
      <c r="N62" s="137"/>
      <c r="O62" s="137"/>
      <c r="P62" s="137"/>
      <c r="Q62" s="137"/>
      <c r="R62" s="137"/>
      <c r="S62" s="137"/>
      <c r="T62" s="137"/>
      <c r="U62" s="137"/>
      <c r="V62" s="138"/>
      <c r="W62" s="138"/>
      <c r="X62" s="138"/>
      <c r="Y62" s="138"/>
      <c r="Z62" s="138"/>
      <c r="AA62" s="138"/>
      <c r="AB62" s="138"/>
      <c r="AC62" s="138"/>
      <c r="AD62" s="138"/>
      <c r="AE62" s="138"/>
    </row>
    <row r="63" spans="2:31" ht="12" thickBot="1">
      <c r="B63" s="135"/>
      <c r="C63" s="135"/>
      <c r="D63" s="135"/>
      <c r="E63" s="135"/>
      <c r="F63" s="136"/>
      <c r="G63" s="137"/>
      <c r="H63" s="137"/>
      <c r="I63" s="137"/>
      <c r="J63" s="137"/>
      <c r="K63" s="137"/>
      <c r="L63" s="137"/>
      <c r="M63" s="137"/>
      <c r="N63" s="137"/>
      <c r="O63" s="137"/>
      <c r="P63" s="137"/>
      <c r="Q63" s="137"/>
      <c r="R63" s="137"/>
      <c r="S63" s="137"/>
      <c r="T63" s="137"/>
      <c r="U63" s="137"/>
      <c r="V63" s="138"/>
      <c r="W63" s="138"/>
      <c r="X63" s="138"/>
      <c r="Y63" s="138"/>
      <c r="Z63" s="138"/>
      <c r="AA63" s="138"/>
      <c r="AB63" s="138"/>
      <c r="AC63" s="138"/>
      <c r="AD63" s="138"/>
      <c r="AE63" s="138"/>
    </row>
    <row r="64" spans="2:31" ht="11.25">
      <c r="B64" s="1265" t="str">
        <f>IF('0 Úvod'!$M$3="English",Slovnik!D82,Slovnik!C82)</f>
        <v>Komentáře</v>
      </c>
      <c r="C64" s="1266"/>
      <c r="D64" s="1266"/>
      <c r="E64" s="1266"/>
      <c r="F64" s="1266"/>
      <c r="G64" s="1266"/>
      <c r="H64" s="1266"/>
      <c r="I64" s="1266"/>
      <c r="J64" s="1266"/>
      <c r="K64" s="1266"/>
      <c r="L64" s="1266"/>
      <c r="M64" s="1266"/>
      <c r="N64" s="1266"/>
      <c r="O64" s="1266"/>
      <c r="P64" s="1267"/>
      <c r="Q64" s="138"/>
      <c r="R64" s="138"/>
      <c r="S64" s="138"/>
      <c r="T64" s="138"/>
      <c r="U64" s="138"/>
      <c r="V64" s="138"/>
      <c r="W64" s="138"/>
      <c r="X64" s="138"/>
      <c r="Y64" s="138"/>
      <c r="Z64" s="138"/>
      <c r="AA64" s="138"/>
      <c r="AB64" s="138"/>
      <c r="AC64" s="138"/>
      <c r="AD64" s="138"/>
      <c r="AE64" s="138"/>
    </row>
    <row r="65" spans="2:31" ht="12" thickBot="1">
      <c r="B65" s="1268"/>
      <c r="C65" s="1269"/>
      <c r="D65" s="1269"/>
      <c r="E65" s="1269"/>
      <c r="F65" s="1269"/>
      <c r="G65" s="1269"/>
      <c r="H65" s="1269"/>
      <c r="I65" s="1269"/>
      <c r="J65" s="1269"/>
      <c r="K65" s="1269"/>
      <c r="L65" s="1269"/>
      <c r="M65" s="1269"/>
      <c r="N65" s="1269"/>
      <c r="O65" s="1269"/>
      <c r="P65" s="1270"/>
      <c r="Q65" s="138"/>
      <c r="R65" s="138"/>
      <c r="S65" s="138"/>
      <c r="T65" s="138"/>
      <c r="U65" s="138"/>
      <c r="V65" s="138"/>
      <c r="W65" s="138"/>
      <c r="X65" s="138"/>
      <c r="Y65" s="138"/>
      <c r="Z65" s="138"/>
      <c r="AA65" s="138"/>
      <c r="AB65" s="138"/>
      <c r="AC65" s="138"/>
      <c r="AD65" s="138"/>
      <c r="AE65" s="138"/>
    </row>
    <row r="66" spans="2:31" ht="12.75" customHeight="1">
      <c r="B66" s="1252"/>
      <c r="C66" s="1253"/>
      <c r="D66" s="1253"/>
      <c r="E66" s="1253"/>
      <c r="F66" s="1253"/>
      <c r="G66" s="1253"/>
      <c r="H66" s="1253"/>
      <c r="I66" s="1253"/>
      <c r="J66" s="1253"/>
      <c r="K66" s="1253"/>
      <c r="L66" s="1253"/>
      <c r="M66" s="1253"/>
      <c r="N66" s="1253"/>
      <c r="O66" s="1253"/>
      <c r="P66" s="1254"/>
      <c r="Q66" s="138"/>
      <c r="R66" s="138"/>
      <c r="S66" s="138"/>
      <c r="T66" s="138"/>
      <c r="U66" s="138"/>
      <c r="V66" s="138"/>
      <c r="W66" s="138"/>
      <c r="X66" s="138"/>
      <c r="Y66" s="138"/>
      <c r="Z66" s="138"/>
      <c r="AA66" s="138"/>
      <c r="AB66" s="138"/>
      <c r="AC66" s="138"/>
      <c r="AD66" s="138"/>
      <c r="AE66" s="138"/>
    </row>
    <row r="67" spans="2:31" ht="12.75" customHeight="1">
      <c r="B67" s="1255"/>
      <c r="C67" s="1256"/>
      <c r="D67" s="1256"/>
      <c r="E67" s="1256"/>
      <c r="F67" s="1256"/>
      <c r="G67" s="1256"/>
      <c r="H67" s="1256"/>
      <c r="I67" s="1256"/>
      <c r="J67" s="1256"/>
      <c r="K67" s="1256"/>
      <c r="L67" s="1256"/>
      <c r="M67" s="1256"/>
      <c r="N67" s="1256"/>
      <c r="O67" s="1256"/>
      <c r="P67" s="1257"/>
      <c r="Q67" s="138"/>
      <c r="R67" s="138"/>
      <c r="S67" s="138"/>
      <c r="T67" s="138"/>
      <c r="U67" s="138"/>
      <c r="V67" s="138"/>
      <c r="W67" s="138"/>
      <c r="X67" s="138"/>
      <c r="Y67" s="138"/>
      <c r="Z67" s="138"/>
      <c r="AA67" s="138"/>
      <c r="AB67" s="138"/>
      <c r="AC67" s="138"/>
      <c r="AD67" s="138"/>
      <c r="AE67" s="138"/>
    </row>
    <row r="68" spans="2:31" ht="12.75" customHeight="1" thickBot="1">
      <c r="B68" s="1258"/>
      <c r="C68" s="1259"/>
      <c r="D68" s="1259"/>
      <c r="E68" s="1259"/>
      <c r="F68" s="1259"/>
      <c r="G68" s="1259"/>
      <c r="H68" s="1259"/>
      <c r="I68" s="1259"/>
      <c r="J68" s="1259"/>
      <c r="K68" s="1259"/>
      <c r="L68" s="1259"/>
      <c r="M68" s="1259"/>
      <c r="N68" s="1259"/>
      <c r="O68" s="1259"/>
      <c r="P68" s="1260"/>
      <c r="Q68" s="138"/>
      <c r="R68" s="138"/>
      <c r="S68" s="138"/>
      <c r="T68" s="138"/>
      <c r="U68" s="138"/>
      <c r="V68" s="138"/>
      <c r="W68" s="138"/>
      <c r="X68" s="138"/>
      <c r="Y68" s="138"/>
      <c r="Z68" s="138"/>
      <c r="AA68" s="138"/>
      <c r="AB68" s="138"/>
      <c r="AC68" s="138"/>
      <c r="AD68" s="138"/>
      <c r="AE68" s="138"/>
    </row>
    <row r="69" spans="2:31" ht="11.25">
      <c r="B69" s="134"/>
      <c r="C69" s="134"/>
      <c r="D69" s="134"/>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row>
    <row r="70" spans="2:31" ht="11.25">
      <c r="B70" s="134"/>
      <c r="C70" s="134"/>
      <c r="D70" s="134"/>
      <c r="E70" s="138"/>
      <c r="F70" s="138"/>
      <c r="G70" s="138"/>
      <c r="H70" s="138"/>
      <c r="I70" s="138"/>
      <c r="J70" s="138"/>
      <c r="K70" s="139"/>
      <c r="L70" s="138"/>
      <c r="M70" s="138"/>
      <c r="N70" s="138"/>
      <c r="O70" s="138"/>
      <c r="P70" s="138"/>
      <c r="Q70" s="138"/>
      <c r="R70" s="138"/>
      <c r="S70" s="138"/>
      <c r="T70" s="138"/>
      <c r="U70" s="138"/>
      <c r="V70" s="138"/>
      <c r="W70" s="138"/>
      <c r="X70" s="138"/>
      <c r="Y70" s="138"/>
      <c r="Z70" s="138"/>
      <c r="AA70" s="138"/>
      <c r="AB70" s="138"/>
      <c r="AC70" s="138"/>
      <c r="AD70" s="138"/>
      <c r="AE70" s="138"/>
    </row>
    <row r="71" spans="2:31" ht="11.25">
      <c r="B71" s="134"/>
      <c r="C71" s="134"/>
      <c r="D71" s="134"/>
      <c r="E71" s="138"/>
      <c r="F71" s="138"/>
      <c r="G71" s="138"/>
      <c r="H71" s="138"/>
      <c r="I71" s="138"/>
      <c r="J71" s="138"/>
      <c r="K71" s="139"/>
      <c r="L71" s="138"/>
      <c r="M71" s="138"/>
      <c r="N71" s="138"/>
      <c r="O71" s="138"/>
      <c r="P71" s="138"/>
      <c r="Q71" s="138"/>
      <c r="R71" s="138"/>
      <c r="S71" s="138"/>
      <c r="T71" s="138"/>
      <c r="U71" s="138"/>
      <c r="V71" s="138"/>
      <c r="W71" s="138"/>
      <c r="X71" s="138"/>
      <c r="Y71" s="138"/>
      <c r="Z71" s="138"/>
      <c r="AA71" s="138"/>
      <c r="AB71" s="138"/>
      <c r="AC71" s="138"/>
      <c r="AD71" s="138"/>
      <c r="AE71" s="138"/>
    </row>
  </sheetData>
  <sheetProtection selectLockedCells="1"/>
  <mergeCells count="14">
    <mergeCell ref="B66:P68"/>
    <mergeCell ref="F3:F4"/>
    <mergeCell ref="E3:E4"/>
    <mergeCell ref="D3:D4"/>
    <mergeCell ref="D48:D49"/>
    <mergeCell ref="E48:E49"/>
    <mergeCell ref="B64:P65"/>
    <mergeCell ref="D17:D18"/>
    <mergeCell ref="E17:E18"/>
    <mergeCell ref="F17:F18"/>
    <mergeCell ref="D32:D33"/>
    <mergeCell ref="E32:E33"/>
    <mergeCell ref="F32:F33"/>
    <mergeCell ref="F48:F49"/>
  </mergeCells>
  <conditionalFormatting sqref="G11 H5:O5 G5:G9 H6:N9">
    <cfRule type="expression" priority="1" dxfId="10">
      <formula>"'0 Úvod'!$J$16&gt;'1 CIN'!$G$3"</formula>
    </cfRule>
  </conditionalFormatting>
  <printOptions horizontalCentered="1" verticalCentered="1"/>
  <pageMargins left="0.3937007874015748" right="0.35433070866141736" top="0.7874015748031497" bottom="0.7874015748031497" header="0.3937007874015748" footer="0.3937007874015748"/>
  <pageSetup fitToHeight="2" fitToWidth="1" horizontalDpi="600" verticalDpi="600" orientation="landscape" paperSize="9" scale="40" r:id="rId3"/>
  <headerFooter alignWithMargins="0">
    <oddFooter>&amp;L&amp;A&amp;C25.2.2013</oddFooter>
  </headerFooter>
  <legacyDrawing r:id="rId2"/>
</worksheet>
</file>

<file path=xl/worksheets/sheet3.xml><?xml version="1.0" encoding="utf-8"?>
<worksheet xmlns="http://schemas.openxmlformats.org/spreadsheetml/2006/main" xmlns:r="http://schemas.openxmlformats.org/officeDocument/2006/relationships">
  <sheetPr codeName="List6">
    <tabColor theme="5" tint="0.5999900102615356"/>
    <pageSetUpPr fitToPage="1"/>
  </sheetPr>
  <dimension ref="A2:AC61"/>
  <sheetViews>
    <sheetView zoomScalePageLayoutView="0" workbookViewId="0" topLeftCell="A10">
      <selection activeCell="F40" sqref="F40"/>
    </sheetView>
  </sheetViews>
  <sheetFormatPr defaultColWidth="9.140625" defaultRowHeight="12.75"/>
  <cols>
    <col min="1" max="1" width="2.7109375" style="138" customWidth="1"/>
    <col min="2" max="2" width="5.7109375" style="138" customWidth="1"/>
    <col min="3" max="3" width="48.28125" style="138" bestFit="1" customWidth="1"/>
    <col min="4" max="4" width="14.28125" style="208" customWidth="1"/>
    <col min="5" max="5" width="10.7109375" style="209" customWidth="1"/>
    <col min="6" max="6" width="11.7109375" style="138" customWidth="1"/>
    <col min="7" max="11" width="10.7109375" style="138" customWidth="1"/>
    <col min="12" max="12" width="11.7109375" style="138" customWidth="1"/>
    <col min="13" max="19" width="10.7109375" style="138" customWidth="1"/>
    <col min="20" max="29" width="11.00390625" style="138" customWidth="1"/>
    <col min="30" max="16384" width="9.140625" style="138" customWidth="1"/>
  </cols>
  <sheetData>
    <row r="1" ht="12" thickBot="1"/>
    <row r="2" spans="2:29" ht="12.75">
      <c r="B2" s="343" t="s">
        <v>26</v>
      </c>
      <c r="C2" s="344" t="str">
        <f>IF('0 Úvod'!$M$3="English",Slovnik!D84,Slovnik!C84)</f>
        <v>Kalkulace zůstatkové hodnoty</v>
      </c>
      <c r="D2" s="332" t="s">
        <v>134</v>
      </c>
      <c r="E2" s="345"/>
      <c r="F2" s="345"/>
      <c r="G2" s="345"/>
      <c r="H2" s="345"/>
      <c r="I2" s="345"/>
      <c r="J2" s="345"/>
      <c r="K2" s="345"/>
      <c r="L2" s="345"/>
      <c r="M2" s="345"/>
      <c r="N2" s="345"/>
      <c r="O2" s="345"/>
      <c r="P2" s="345"/>
      <c r="Q2" s="345"/>
      <c r="R2" s="345"/>
      <c r="S2" s="345"/>
      <c r="T2" s="345"/>
      <c r="U2" s="345"/>
      <c r="V2" s="345"/>
      <c r="W2" s="345"/>
      <c r="X2" s="345"/>
      <c r="Y2" s="345"/>
      <c r="Z2" s="345"/>
      <c r="AA2" s="345"/>
      <c r="AB2" s="345"/>
      <c r="AC2" s="346"/>
    </row>
    <row r="3" spans="2:29" ht="12.75" customHeight="1" thickBot="1">
      <c r="B3" s="347" t="s">
        <v>17</v>
      </c>
      <c r="C3" s="339"/>
      <c r="D3" s="1278" t="str">
        <f>IF('0 Úvod'!$M$3="English",Slovnik!D85,Slovnik!C85)</f>
        <v>Celkem</v>
      </c>
      <c r="E3" s="337">
        <f>'0 Úvod'!G18</f>
        <v>2014</v>
      </c>
      <c r="F3" s="348">
        <f>E3+1</f>
        <v>2015</v>
      </c>
      <c r="G3" s="348">
        <f aca="true" t="shared" si="0" ref="G3:R3">F3+1</f>
        <v>2016</v>
      </c>
      <c r="H3" s="348">
        <f t="shared" si="0"/>
        <v>2017</v>
      </c>
      <c r="I3" s="348">
        <f t="shared" si="0"/>
        <v>2018</v>
      </c>
      <c r="J3" s="348">
        <f t="shared" si="0"/>
        <v>2019</v>
      </c>
      <c r="K3" s="348">
        <f t="shared" si="0"/>
        <v>2020</v>
      </c>
      <c r="L3" s="348">
        <f t="shared" si="0"/>
        <v>2021</v>
      </c>
      <c r="M3" s="348">
        <f t="shared" si="0"/>
        <v>2022</v>
      </c>
      <c r="N3" s="348">
        <f t="shared" si="0"/>
        <v>2023</v>
      </c>
      <c r="O3" s="348">
        <f t="shared" si="0"/>
        <v>2024</v>
      </c>
      <c r="P3" s="348">
        <f t="shared" si="0"/>
        <v>2025</v>
      </c>
      <c r="Q3" s="348">
        <f t="shared" si="0"/>
        <v>2026</v>
      </c>
      <c r="R3" s="348">
        <f t="shared" si="0"/>
        <v>2027</v>
      </c>
      <c r="S3" s="348">
        <f aca="true" t="shared" si="1" ref="S3:AC3">R3+1</f>
        <v>2028</v>
      </c>
      <c r="T3" s="348">
        <f t="shared" si="1"/>
        <v>2029</v>
      </c>
      <c r="U3" s="348">
        <f t="shared" si="1"/>
        <v>2030</v>
      </c>
      <c r="V3" s="348">
        <f t="shared" si="1"/>
        <v>2031</v>
      </c>
      <c r="W3" s="348">
        <f t="shared" si="1"/>
        <v>2032</v>
      </c>
      <c r="X3" s="348">
        <f t="shared" si="1"/>
        <v>2033</v>
      </c>
      <c r="Y3" s="348">
        <f t="shared" si="1"/>
        <v>2034</v>
      </c>
      <c r="Z3" s="348">
        <f t="shared" si="1"/>
        <v>2035</v>
      </c>
      <c r="AA3" s="348">
        <f t="shared" si="1"/>
        <v>2036</v>
      </c>
      <c r="AB3" s="348">
        <f t="shared" si="1"/>
        <v>2037</v>
      </c>
      <c r="AC3" s="349">
        <f t="shared" si="1"/>
        <v>2038</v>
      </c>
    </row>
    <row r="4" spans="2:29" ht="12.75" thickBot="1">
      <c r="B4" s="339"/>
      <c r="C4" s="339"/>
      <c r="D4" s="1279"/>
      <c r="E4" s="350"/>
      <c r="F4" s="350"/>
      <c r="G4" s="350"/>
      <c r="H4" s="350"/>
      <c r="I4" s="350"/>
      <c r="J4" s="350"/>
      <c r="K4" s="350"/>
      <c r="L4" s="350"/>
      <c r="M4" s="350"/>
      <c r="N4" s="350"/>
      <c r="O4" s="350"/>
      <c r="P4" s="350"/>
      <c r="Q4" s="350"/>
      <c r="R4" s="350"/>
      <c r="S4" s="350"/>
      <c r="T4" s="350"/>
      <c r="U4" s="350"/>
      <c r="V4" s="350"/>
      <c r="W4" s="350"/>
      <c r="X4" s="350"/>
      <c r="Y4" s="350"/>
      <c r="Z4" s="350"/>
      <c r="AA4" s="350"/>
      <c r="AB4" s="350"/>
      <c r="AC4" s="351"/>
    </row>
    <row r="5" spans="2:29" ht="12">
      <c r="B5" s="660"/>
      <c r="C5" s="661" t="str">
        <f>IF('0 Úvod'!$M$3="English",Slovnik!D88,Slovnik!C88)</f>
        <v>Investiční náklady bez rezervy</v>
      </c>
      <c r="D5" s="252">
        <f>'1 CIN'!F10</f>
        <v>0</v>
      </c>
      <c r="E5" s="259">
        <f>'1 CIN'!G10</f>
        <v>0</v>
      </c>
      <c r="F5" s="253">
        <f>'1 CIN'!H10</f>
        <v>0</v>
      </c>
      <c r="G5" s="253">
        <f>'1 CIN'!I10</f>
        <v>0</v>
      </c>
      <c r="H5" s="253">
        <f>'1 CIN'!J10</f>
        <v>0</v>
      </c>
      <c r="I5" s="253">
        <f>'1 CIN'!K10</f>
        <v>0</v>
      </c>
      <c r="J5" s="253">
        <f>'1 CIN'!L10</f>
        <v>0</v>
      </c>
      <c r="K5" s="253">
        <f>'1 CIN'!M10</f>
        <v>0</v>
      </c>
      <c r="L5" s="253">
        <f>'1 CIN'!N10</f>
        <v>0</v>
      </c>
      <c r="M5" s="253">
        <f>'1 CIN'!O10</f>
        <v>0</v>
      </c>
      <c r="N5" s="253">
        <f>'1 CIN'!P10</f>
        <v>0</v>
      </c>
      <c r="O5" s="253">
        <f>'1 CIN'!Q10</f>
        <v>0</v>
      </c>
      <c r="P5" s="253">
        <f>'1 CIN'!R10</f>
        <v>0</v>
      </c>
      <c r="Q5" s="253">
        <f>'1 CIN'!S10</f>
        <v>0</v>
      </c>
      <c r="R5" s="253">
        <f>'1 CIN'!T10</f>
        <v>0</v>
      </c>
      <c r="S5" s="253">
        <f>'1 CIN'!U10</f>
        <v>0</v>
      </c>
      <c r="T5" s="253">
        <f>'1 CIN'!V10</f>
        <v>0</v>
      </c>
      <c r="U5" s="253">
        <f>'1 CIN'!W10</f>
        <v>0</v>
      </c>
      <c r="V5" s="253">
        <f>'1 CIN'!X10</f>
        <v>0</v>
      </c>
      <c r="W5" s="253">
        <f>'1 CIN'!Y10</f>
        <v>0</v>
      </c>
      <c r="X5" s="253">
        <f>'1 CIN'!Z10</f>
        <v>0</v>
      </c>
      <c r="Y5" s="253">
        <f>'1 CIN'!AA10</f>
        <v>0</v>
      </c>
      <c r="Z5" s="253">
        <f>'1 CIN'!AB10</f>
        <v>0</v>
      </c>
      <c r="AA5" s="253">
        <f>'1 CIN'!AC10</f>
        <v>0</v>
      </c>
      <c r="AB5" s="253">
        <f>'1 CIN'!AD10</f>
        <v>0</v>
      </c>
      <c r="AC5" s="254">
        <f>'1 CIN'!AE10</f>
        <v>0</v>
      </c>
    </row>
    <row r="6" spans="2:29" ht="12">
      <c r="B6" s="662"/>
      <c r="C6" s="663" t="str">
        <f>C40</f>
        <v>Přístavní zdi</v>
      </c>
      <c r="D6" s="1150">
        <f aca="true" t="shared" si="2" ref="D6:D16">SUM(E6:AC6,E24:AC24)</f>
        <v>0</v>
      </c>
      <c r="E6" s="247">
        <f>IF(E$3='0 Úvod'!$J$16,$G40,0)</f>
        <v>0</v>
      </c>
      <c r="F6" s="248">
        <f>IF('0 Úvod'!$J$16&gt;'2 ZH'!F$3,0,IF(F$3-'0 Úvod'!$J$16&gt;='2 ZH'!$E40,0,IF('0 Úvod'!$G$18+'0 Úvod'!$J$18&gt;'2 ZH'!F$3,'2 ZH'!$G40,0)))</f>
        <v>0</v>
      </c>
      <c r="G6" s="248">
        <f>IF('0 Úvod'!$J$16&gt;'2 ZH'!G$3,0,IF(G$3-'0 Úvod'!$J$16&gt;='2 ZH'!$E40,0,IF('0 Úvod'!$G$18+'0 Úvod'!$J$18&gt;'2 ZH'!G$3,'2 ZH'!$G40,0)))</f>
        <v>0</v>
      </c>
      <c r="H6" s="248">
        <f>IF('0 Úvod'!$J$16&gt;'2 ZH'!H$3,0,IF(H$3-'0 Úvod'!$J$16&gt;='2 ZH'!$E40,0,IF('0 Úvod'!$G$18+'0 Úvod'!$J$18&gt;'2 ZH'!H$3,'2 ZH'!$G40,0)))</f>
        <v>0</v>
      </c>
      <c r="I6" s="248">
        <f>IF('0 Úvod'!$J$16&gt;'2 ZH'!I$3,0,IF(I$3-'0 Úvod'!$J$16&gt;='2 ZH'!$E40,0,IF('0 Úvod'!$G$18+'0 Úvod'!$J$18&gt;'2 ZH'!I$3,'2 ZH'!$G40,0)))</f>
        <v>0</v>
      </c>
      <c r="J6" s="248">
        <f>IF('0 Úvod'!$J$16&gt;'2 ZH'!J$3,0,IF(J$3-'0 Úvod'!$J$16&gt;='2 ZH'!$E40,0,IF('0 Úvod'!$G$18+'0 Úvod'!$J$18&gt;'2 ZH'!J$3,'2 ZH'!$G40,0)))</f>
        <v>0</v>
      </c>
      <c r="K6" s="248">
        <f>IF('0 Úvod'!$J$16&gt;'2 ZH'!K$3,0,IF(K$3-'0 Úvod'!$J$16&gt;='2 ZH'!$E40,0,IF('0 Úvod'!$G$18+'0 Úvod'!$J$18&gt;'2 ZH'!K$3,'2 ZH'!$G40,0)))</f>
        <v>0</v>
      </c>
      <c r="L6" s="248">
        <f>IF('0 Úvod'!$J$16&gt;'2 ZH'!L$3,0,IF(L$3-'0 Úvod'!$J$16&gt;='2 ZH'!$E40,0,IF('0 Úvod'!$G$18+'0 Úvod'!$J$18&gt;'2 ZH'!L$3,'2 ZH'!$G40,0)))</f>
        <v>0</v>
      </c>
      <c r="M6" s="248">
        <f>IF('0 Úvod'!$J$16&gt;'2 ZH'!M$3,0,IF(M$3-'0 Úvod'!$J$16&gt;='2 ZH'!$E40,0,IF('0 Úvod'!$G$18+'0 Úvod'!$J$18&gt;'2 ZH'!M$3,'2 ZH'!$G40,0)))</f>
        <v>0</v>
      </c>
      <c r="N6" s="248">
        <f>IF('0 Úvod'!$J$16&gt;'2 ZH'!N$3,0,IF(N$3-'0 Úvod'!$J$16&gt;='2 ZH'!$E40,0,IF('0 Úvod'!$G$18+'0 Úvod'!$J$18&gt;'2 ZH'!N$3,'2 ZH'!$G40,0)))</f>
        <v>0</v>
      </c>
      <c r="O6" s="248">
        <f>IF('0 Úvod'!$J$16&gt;'2 ZH'!O$3,0,IF(O$3-'0 Úvod'!$J$16&gt;='2 ZH'!$E40,0,IF('0 Úvod'!$G$18+'0 Úvod'!$J$18&gt;'2 ZH'!O$3,'2 ZH'!$G40,0)))</f>
        <v>0</v>
      </c>
      <c r="P6" s="248">
        <f>IF('0 Úvod'!$J$16&gt;'2 ZH'!P$3,0,IF(P$3-'0 Úvod'!$J$16&gt;='2 ZH'!$E40,0,IF('0 Úvod'!$G$18+'0 Úvod'!$J$18&gt;'2 ZH'!P$3,'2 ZH'!$G40,0)))</f>
        <v>0</v>
      </c>
      <c r="Q6" s="248">
        <f>IF('0 Úvod'!$J$16&gt;'2 ZH'!Q$3,0,IF(Q$3-'0 Úvod'!$J$16&gt;='2 ZH'!$E40,0,IF('0 Úvod'!$G$18+'0 Úvod'!$J$18&gt;'2 ZH'!Q$3,'2 ZH'!$G40,0)))</f>
        <v>0</v>
      </c>
      <c r="R6" s="248">
        <f>IF('0 Úvod'!$J$16&gt;'2 ZH'!R$3,0,IF(R$3-'0 Úvod'!$J$16&gt;='2 ZH'!$E40,0,IF('0 Úvod'!$G$18+'0 Úvod'!$J$18&gt;'2 ZH'!R$3,'2 ZH'!$G40,0)))</f>
        <v>0</v>
      </c>
      <c r="S6" s="248">
        <f>IF('0 Úvod'!$J$16&gt;'2 ZH'!S$3,0,IF(S$3-'0 Úvod'!$J$16&gt;='2 ZH'!$E40,0,IF('0 Úvod'!$G$18+'0 Úvod'!$J$18&gt;'2 ZH'!S$3,'2 ZH'!$G40,0)))</f>
        <v>0</v>
      </c>
      <c r="T6" s="248">
        <f>IF('0 Úvod'!$J$16&gt;'2 ZH'!T$3,0,IF(T$3-'0 Úvod'!$J$16&gt;='2 ZH'!$E40,0,IF('0 Úvod'!$G$18+'0 Úvod'!$J$18&gt;'2 ZH'!T$3,'2 ZH'!$G40,0)))</f>
        <v>0</v>
      </c>
      <c r="U6" s="248">
        <f>IF('0 Úvod'!$J$16&gt;'2 ZH'!U$3,0,IF(U$3-'0 Úvod'!$J$16&gt;='2 ZH'!$E40,0,IF('0 Úvod'!$G$18+'0 Úvod'!$J$18&gt;'2 ZH'!U$3,'2 ZH'!$G40,0)))</f>
        <v>0</v>
      </c>
      <c r="V6" s="248">
        <f>IF('0 Úvod'!$J$16&gt;'2 ZH'!V$3,0,IF(V$3-'0 Úvod'!$J$16&gt;='2 ZH'!$E40,0,IF('0 Úvod'!$G$18+'0 Úvod'!$J$18&gt;'2 ZH'!V$3,'2 ZH'!$G40,0)))</f>
        <v>0</v>
      </c>
      <c r="W6" s="248">
        <f>IF('0 Úvod'!$J$16&gt;'2 ZH'!W$3,0,IF(W$3-'0 Úvod'!$J$16&gt;='2 ZH'!$E40,0,IF('0 Úvod'!$G$18+'0 Úvod'!$J$18&gt;'2 ZH'!W$3,'2 ZH'!$G40,0)))</f>
        <v>0</v>
      </c>
      <c r="X6" s="248">
        <f>IF('0 Úvod'!$J$16&gt;'2 ZH'!X$3,0,IF(X$3-'0 Úvod'!$J$16&gt;='2 ZH'!$E40,0,IF('0 Úvod'!$G$18+'0 Úvod'!$J$18&gt;'2 ZH'!X$3,'2 ZH'!$G40,0)))</f>
        <v>0</v>
      </c>
      <c r="Y6" s="248">
        <f>IF('0 Úvod'!$J$16&gt;'2 ZH'!Y$3,0,IF(Y$3-'0 Úvod'!$J$16&gt;='2 ZH'!$E40,0,IF('0 Úvod'!$G$18+'0 Úvod'!$J$18&gt;'2 ZH'!Y$3,'2 ZH'!$G40,0)))</f>
        <v>0</v>
      </c>
      <c r="Z6" s="248">
        <f>IF('0 Úvod'!$J$16&gt;'2 ZH'!Z$3,0,IF(Z$3-'0 Úvod'!$J$16&gt;='2 ZH'!$E40,0,IF('0 Úvod'!$G$18+'0 Úvod'!$J$18&gt;'2 ZH'!Z$3,'2 ZH'!$G40,0)))</f>
        <v>0</v>
      </c>
      <c r="AA6" s="248">
        <f>IF('0 Úvod'!$J$16&gt;'2 ZH'!AA$3,0,IF(AA$3-'0 Úvod'!$J$16&gt;='2 ZH'!$E40,0,IF('0 Úvod'!$G$18+'0 Úvod'!$J$18&gt;'2 ZH'!AA$3,'2 ZH'!$G40,0)))</f>
        <v>0</v>
      </c>
      <c r="AB6" s="248">
        <f>IF('0 Úvod'!$J$16&gt;'2 ZH'!AB$3,0,IF(AB$3-'0 Úvod'!$J$16&gt;='2 ZH'!$E40,0,IF('0 Úvod'!$G$18+'0 Úvod'!$J$18&gt;'2 ZH'!AB$3,'2 ZH'!$G40,0)))</f>
        <v>0</v>
      </c>
      <c r="AC6" s="263">
        <f>IF('0 Úvod'!$J$16&gt;'2 ZH'!AC$3,0,IF(AC$3-'0 Úvod'!$J$16&gt;='2 ZH'!$E40,0,IF('0 Úvod'!$G$18+'0 Úvod'!$J$18&gt;'2 ZH'!AC$3,'2 ZH'!$G40,0)))</f>
        <v>0</v>
      </c>
    </row>
    <row r="7" spans="2:29" ht="12">
      <c r="B7" s="664"/>
      <c r="C7" s="654" t="str">
        <f aca="true" t="shared" si="3" ref="C7:C15">C41</f>
        <v>Hrubé hydrotechnické konstrukce *</v>
      </c>
      <c r="D7" s="1151">
        <f t="shared" si="2"/>
        <v>0</v>
      </c>
      <c r="E7" s="260">
        <f>IF(E$3='0 Úvod'!$J$16,$G41,0)</f>
        <v>0</v>
      </c>
      <c r="F7" s="249">
        <f>IF('0 Úvod'!$J$16&gt;'2 ZH'!F$3,0,IF(F$3-'0 Úvod'!$J$16&gt;='2 ZH'!$E41,0,IF('0 Úvod'!$G$18+'0 Úvod'!$J$18&gt;'2 ZH'!F$3,'2 ZH'!$G41,0)))</f>
        <v>0</v>
      </c>
      <c r="G7" s="249">
        <f>IF('0 Úvod'!$J$16&gt;'2 ZH'!G$3,0,IF(G$3-'0 Úvod'!$J$16&gt;='2 ZH'!$E41,0,IF('0 Úvod'!$G$18+'0 Úvod'!$J$18&gt;'2 ZH'!G$3,'2 ZH'!$G41,0)))</f>
        <v>0</v>
      </c>
      <c r="H7" s="249">
        <f>IF('0 Úvod'!$J$16&gt;'2 ZH'!H$3,0,IF(H$3-'0 Úvod'!$J$16&gt;='2 ZH'!$E41,0,IF('0 Úvod'!$G$18+'0 Úvod'!$J$18&gt;'2 ZH'!H$3,'2 ZH'!$G41,0)))</f>
        <v>0</v>
      </c>
      <c r="I7" s="249">
        <f>IF('0 Úvod'!$J$16&gt;'2 ZH'!I$3,0,IF(I$3-'0 Úvod'!$J$16&gt;='2 ZH'!$E41,0,IF('0 Úvod'!$G$18+'0 Úvod'!$J$18&gt;'2 ZH'!I$3,'2 ZH'!$G41,0)))</f>
        <v>0</v>
      </c>
      <c r="J7" s="249">
        <f>IF('0 Úvod'!$J$16&gt;'2 ZH'!J$3,0,IF(J$3-'0 Úvod'!$J$16&gt;='2 ZH'!$E41,0,IF('0 Úvod'!$G$18+'0 Úvod'!$J$18&gt;'2 ZH'!J$3,'2 ZH'!$G41,0)))</f>
        <v>0</v>
      </c>
      <c r="K7" s="249">
        <f>IF('0 Úvod'!$J$16&gt;'2 ZH'!K$3,0,IF(K$3-'0 Úvod'!$J$16&gt;='2 ZH'!$E41,0,IF('0 Úvod'!$G$18+'0 Úvod'!$J$18&gt;'2 ZH'!K$3,'2 ZH'!$G41,0)))</f>
        <v>0</v>
      </c>
      <c r="L7" s="249">
        <f>IF('0 Úvod'!$J$16&gt;'2 ZH'!L$3,0,IF(L$3-'0 Úvod'!$J$16&gt;='2 ZH'!$E41,0,IF('0 Úvod'!$G$18+'0 Úvod'!$J$18&gt;'2 ZH'!L$3,'2 ZH'!$G41,0)))</f>
        <v>0</v>
      </c>
      <c r="M7" s="249">
        <f>IF('0 Úvod'!$J$16&gt;'2 ZH'!M$3,0,IF(M$3-'0 Úvod'!$J$16&gt;='2 ZH'!$E41,0,IF('0 Úvod'!$G$18+'0 Úvod'!$J$18&gt;'2 ZH'!M$3,'2 ZH'!$G41,0)))</f>
        <v>0</v>
      </c>
      <c r="N7" s="249">
        <f>IF('0 Úvod'!$J$16&gt;'2 ZH'!N$3,0,IF(N$3-'0 Úvod'!$J$16&gt;='2 ZH'!$E41,0,IF('0 Úvod'!$G$18+'0 Úvod'!$J$18&gt;'2 ZH'!N$3,'2 ZH'!$G41,0)))</f>
        <v>0</v>
      </c>
      <c r="O7" s="249">
        <f>IF('0 Úvod'!$J$16&gt;'2 ZH'!O$3,0,IF(O$3-'0 Úvod'!$J$16&gt;='2 ZH'!$E41,0,IF('0 Úvod'!$G$18+'0 Úvod'!$J$18&gt;'2 ZH'!O$3,'2 ZH'!$G41,0)))</f>
        <v>0</v>
      </c>
      <c r="P7" s="249">
        <f>IF('0 Úvod'!$J$16&gt;'2 ZH'!P$3,0,IF(P$3-'0 Úvod'!$J$16&gt;='2 ZH'!$E41,0,IF('0 Úvod'!$G$18+'0 Úvod'!$J$18&gt;'2 ZH'!P$3,'2 ZH'!$G41,0)))</f>
        <v>0</v>
      </c>
      <c r="Q7" s="249">
        <f>IF('0 Úvod'!$J$16&gt;'2 ZH'!Q$3,0,IF(Q$3-'0 Úvod'!$J$16&gt;='2 ZH'!$E41,0,IF('0 Úvod'!$G$18+'0 Úvod'!$J$18&gt;'2 ZH'!Q$3,'2 ZH'!$G41,0)))</f>
        <v>0</v>
      </c>
      <c r="R7" s="249">
        <f>IF('0 Úvod'!$J$16&gt;'2 ZH'!R$3,0,IF(R$3-'0 Úvod'!$J$16&gt;='2 ZH'!$E41,0,IF('0 Úvod'!$G$18+'0 Úvod'!$J$18&gt;'2 ZH'!R$3,'2 ZH'!$G41,0)))</f>
        <v>0</v>
      </c>
      <c r="S7" s="249">
        <f>IF('0 Úvod'!$J$16&gt;'2 ZH'!S$3,0,IF(S$3-'0 Úvod'!$J$16&gt;='2 ZH'!$E41,0,IF('0 Úvod'!$G$18+'0 Úvod'!$J$18&gt;'2 ZH'!S$3,'2 ZH'!$G41,0)))</f>
        <v>0</v>
      </c>
      <c r="T7" s="249">
        <f>IF('0 Úvod'!$J$16&gt;'2 ZH'!T$3,0,IF(T$3-'0 Úvod'!$J$16&gt;='2 ZH'!$E41,0,IF('0 Úvod'!$G$18+'0 Úvod'!$J$18&gt;'2 ZH'!T$3,'2 ZH'!$G41,0)))</f>
        <v>0</v>
      </c>
      <c r="U7" s="249">
        <f>IF('0 Úvod'!$J$16&gt;'2 ZH'!U$3,0,IF(U$3-'0 Úvod'!$J$16&gt;='2 ZH'!$E41,0,IF('0 Úvod'!$G$18+'0 Úvod'!$J$18&gt;'2 ZH'!U$3,'2 ZH'!$G41,0)))</f>
        <v>0</v>
      </c>
      <c r="V7" s="249">
        <f>IF('0 Úvod'!$J$16&gt;'2 ZH'!V$3,0,IF(V$3-'0 Úvod'!$J$16&gt;='2 ZH'!$E41,0,IF('0 Úvod'!$G$18+'0 Úvod'!$J$18&gt;'2 ZH'!V$3,'2 ZH'!$G41,0)))</f>
        <v>0</v>
      </c>
      <c r="W7" s="249">
        <f>IF('0 Úvod'!$J$16&gt;'2 ZH'!W$3,0,IF(W$3-'0 Úvod'!$J$16&gt;='2 ZH'!$E41,0,IF('0 Úvod'!$G$18+'0 Úvod'!$J$18&gt;'2 ZH'!W$3,'2 ZH'!$G41,0)))</f>
        <v>0</v>
      </c>
      <c r="X7" s="249">
        <f>IF('0 Úvod'!$J$16&gt;'2 ZH'!X$3,0,IF(X$3-'0 Úvod'!$J$16&gt;='2 ZH'!$E41,0,IF('0 Úvod'!$G$18+'0 Úvod'!$J$18&gt;'2 ZH'!X$3,'2 ZH'!$G41,0)))</f>
        <v>0</v>
      </c>
      <c r="Y7" s="249">
        <f>IF('0 Úvod'!$J$16&gt;'2 ZH'!Y$3,0,IF(Y$3-'0 Úvod'!$J$16&gt;='2 ZH'!$E41,0,IF('0 Úvod'!$G$18+'0 Úvod'!$J$18&gt;'2 ZH'!Y$3,'2 ZH'!$G41,0)))</f>
        <v>0</v>
      </c>
      <c r="Z7" s="249">
        <f>IF('0 Úvod'!$J$16&gt;'2 ZH'!Z$3,0,IF(Z$3-'0 Úvod'!$J$16&gt;='2 ZH'!$E41,0,IF('0 Úvod'!$G$18+'0 Úvod'!$J$18&gt;'2 ZH'!Z$3,'2 ZH'!$G41,0)))</f>
        <v>0</v>
      </c>
      <c r="AA7" s="249">
        <f>IF('0 Úvod'!$J$16&gt;'2 ZH'!AA$3,0,IF(AA$3-'0 Úvod'!$J$16&gt;='2 ZH'!$E41,0,IF('0 Úvod'!$G$18+'0 Úvod'!$J$18&gt;'2 ZH'!AA$3,'2 ZH'!$G41,0)))</f>
        <v>0</v>
      </c>
      <c r="AB7" s="249">
        <f>IF('0 Úvod'!$J$16&gt;'2 ZH'!AB$3,0,IF(AB$3-'0 Úvod'!$J$16&gt;='2 ZH'!$E41,0,IF('0 Úvod'!$G$18+'0 Úvod'!$J$18&gt;'2 ZH'!AB$3,'2 ZH'!$G41,0)))</f>
        <v>0</v>
      </c>
      <c r="AC7" s="255">
        <f>IF('0 Úvod'!$J$16&gt;'2 ZH'!AC$3,0,IF(AC$3-'0 Úvod'!$J$16&gt;='2 ZH'!$E41,0,IF('0 Úvod'!$G$18+'0 Úvod'!$J$18&gt;'2 ZH'!AC$3,'2 ZH'!$G41,0)))</f>
        <v>0</v>
      </c>
    </row>
    <row r="8" spans="2:29" ht="12">
      <c r="B8" s="664"/>
      <c r="C8" s="654" t="str">
        <f t="shared" si="3"/>
        <v>Ocelové konstrukce **</v>
      </c>
      <c r="D8" s="1152">
        <f t="shared" si="2"/>
        <v>0</v>
      </c>
      <c r="E8" s="260">
        <f>IF(E$3='0 Úvod'!$J$16,$G42,0)</f>
        <v>0</v>
      </c>
      <c r="F8" s="249">
        <f>IF('0 Úvod'!$J$16&gt;'2 ZH'!F$3,0,IF(F$3-'0 Úvod'!$J$16&gt;='2 ZH'!$E42,0,IF('0 Úvod'!$G$18+'0 Úvod'!$J$18&gt;'2 ZH'!F$3,'2 ZH'!$G42,0)))</f>
        <v>0</v>
      </c>
      <c r="G8" s="249">
        <f>IF('0 Úvod'!$J$16&gt;'2 ZH'!G$3,0,IF(G$3-'0 Úvod'!$J$16&gt;='2 ZH'!$E42,0,IF('0 Úvod'!$G$18+'0 Úvod'!$J$18&gt;'2 ZH'!G$3,'2 ZH'!$G42,0)))</f>
        <v>0</v>
      </c>
      <c r="H8" s="249">
        <f>IF('0 Úvod'!$J$16&gt;'2 ZH'!H$3,0,IF(H$3-'0 Úvod'!$J$16&gt;='2 ZH'!$E42,0,IF('0 Úvod'!$G$18+'0 Úvod'!$J$18&gt;'2 ZH'!H$3,'2 ZH'!$G42,0)))</f>
        <v>0</v>
      </c>
      <c r="I8" s="249">
        <f>IF('0 Úvod'!$J$16&gt;'2 ZH'!I$3,0,IF(I$3-'0 Úvod'!$J$16&gt;='2 ZH'!$E42,0,IF('0 Úvod'!$G$18+'0 Úvod'!$J$18&gt;'2 ZH'!I$3,'2 ZH'!$G42,0)))</f>
        <v>0</v>
      </c>
      <c r="J8" s="249">
        <f>IF('0 Úvod'!$J$16&gt;'2 ZH'!J$3,0,IF(J$3-'0 Úvod'!$J$16&gt;='2 ZH'!$E42,0,IF('0 Úvod'!$G$18+'0 Úvod'!$J$18&gt;'2 ZH'!J$3,'2 ZH'!$G42,0)))</f>
        <v>0</v>
      </c>
      <c r="K8" s="249">
        <f>IF('0 Úvod'!$J$16&gt;'2 ZH'!K$3,0,IF(K$3-'0 Úvod'!$J$16&gt;='2 ZH'!$E42,0,IF('0 Úvod'!$G$18+'0 Úvod'!$J$18&gt;'2 ZH'!K$3,'2 ZH'!$G42,0)))</f>
        <v>0</v>
      </c>
      <c r="L8" s="249">
        <f>IF('0 Úvod'!$J$16&gt;'2 ZH'!L$3,0,IF(L$3-'0 Úvod'!$J$16&gt;='2 ZH'!$E42,0,IF('0 Úvod'!$G$18+'0 Úvod'!$J$18&gt;'2 ZH'!L$3,'2 ZH'!$G42,0)))</f>
        <v>0</v>
      </c>
      <c r="M8" s="249">
        <f>IF('0 Úvod'!$J$16&gt;'2 ZH'!M$3,0,IF(M$3-'0 Úvod'!$J$16&gt;='2 ZH'!$E42,0,IF('0 Úvod'!$G$18+'0 Úvod'!$J$18&gt;'2 ZH'!M$3,'2 ZH'!$G42,0)))</f>
        <v>0</v>
      </c>
      <c r="N8" s="249">
        <f>IF('0 Úvod'!$J$16&gt;'2 ZH'!N$3,0,IF(N$3-'0 Úvod'!$J$16&gt;='2 ZH'!$E42,0,IF('0 Úvod'!$G$18+'0 Úvod'!$J$18&gt;'2 ZH'!N$3,'2 ZH'!$G42,0)))</f>
        <v>0</v>
      </c>
      <c r="O8" s="249">
        <f>IF('0 Úvod'!$J$16&gt;'2 ZH'!O$3,0,IF(O$3-'0 Úvod'!$J$16&gt;='2 ZH'!$E42,0,IF('0 Úvod'!$G$18+'0 Úvod'!$J$18&gt;'2 ZH'!O$3,'2 ZH'!$G42,0)))</f>
        <v>0</v>
      </c>
      <c r="P8" s="249">
        <f>IF('0 Úvod'!$J$16&gt;'2 ZH'!P$3,0,IF(P$3-'0 Úvod'!$J$16&gt;='2 ZH'!$E42,0,IF('0 Úvod'!$G$18+'0 Úvod'!$J$18&gt;'2 ZH'!P$3,'2 ZH'!$G42,0)))</f>
        <v>0</v>
      </c>
      <c r="Q8" s="249">
        <f>IF('0 Úvod'!$J$16&gt;'2 ZH'!Q$3,0,IF(Q$3-'0 Úvod'!$J$16&gt;='2 ZH'!$E42,0,IF('0 Úvod'!$G$18+'0 Úvod'!$J$18&gt;'2 ZH'!Q$3,'2 ZH'!$G42,0)))</f>
        <v>0</v>
      </c>
      <c r="R8" s="249">
        <f>IF('0 Úvod'!$J$16&gt;'2 ZH'!R$3,0,IF(R$3-'0 Úvod'!$J$16&gt;='2 ZH'!$E42,0,IF('0 Úvod'!$G$18+'0 Úvod'!$J$18&gt;'2 ZH'!R$3,'2 ZH'!$G42,0)))</f>
        <v>0</v>
      </c>
      <c r="S8" s="249">
        <f>IF('0 Úvod'!$J$16&gt;'2 ZH'!S$3,0,IF(S$3-'0 Úvod'!$J$16&gt;='2 ZH'!$E42,0,IF('0 Úvod'!$G$18+'0 Úvod'!$J$18&gt;'2 ZH'!S$3,'2 ZH'!$G42,0)))</f>
        <v>0</v>
      </c>
      <c r="T8" s="249">
        <f>IF('0 Úvod'!$J$16&gt;'2 ZH'!T$3,0,IF(T$3-'0 Úvod'!$J$16&gt;='2 ZH'!$E42,0,IF('0 Úvod'!$G$18+'0 Úvod'!$J$18&gt;'2 ZH'!T$3,'2 ZH'!$G42,0)))</f>
        <v>0</v>
      </c>
      <c r="U8" s="249">
        <f>IF('0 Úvod'!$J$16&gt;'2 ZH'!U$3,0,IF(U$3-'0 Úvod'!$J$16&gt;='2 ZH'!$E42,0,IF('0 Úvod'!$G$18+'0 Úvod'!$J$18&gt;'2 ZH'!U$3,'2 ZH'!$G42,0)))</f>
        <v>0</v>
      </c>
      <c r="V8" s="249">
        <f>IF('0 Úvod'!$J$16&gt;'2 ZH'!V$3,0,IF(V$3-'0 Úvod'!$J$16&gt;='2 ZH'!$E42,0,IF('0 Úvod'!$G$18+'0 Úvod'!$J$18&gt;'2 ZH'!V$3,'2 ZH'!$G42,0)))</f>
        <v>0</v>
      </c>
      <c r="W8" s="249">
        <f>IF('0 Úvod'!$J$16&gt;'2 ZH'!W$3,0,IF(W$3-'0 Úvod'!$J$16&gt;='2 ZH'!$E42,0,IF('0 Úvod'!$G$18+'0 Úvod'!$J$18&gt;'2 ZH'!W$3,'2 ZH'!$G42,0)))</f>
        <v>0</v>
      </c>
      <c r="X8" s="249">
        <f>IF('0 Úvod'!$J$16&gt;'2 ZH'!X$3,0,IF(X$3-'0 Úvod'!$J$16&gt;='2 ZH'!$E42,0,IF('0 Úvod'!$G$18+'0 Úvod'!$J$18&gt;'2 ZH'!X$3,'2 ZH'!$G42,0)))</f>
        <v>0</v>
      </c>
      <c r="Y8" s="249">
        <f>IF('0 Úvod'!$J$16&gt;'2 ZH'!Y$3,0,IF(Y$3-'0 Úvod'!$J$16&gt;='2 ZH'!$E42,0,IF('0 Úvod'!$G$18+'0 Úvod'!$J$18&gt;'2 ZH'!Y$3,'2 ZH'!$G42,0)))</f>
        <v>0</v>
      </c>
      <c r="Z8" s="249">
        <f>IF('0 Úvod'!$J$16&gt;'2 ZH'!Z$3,0,IF(Z$3-'0 Úvod'!$J$16&gt;='2 ZH'!$E42,0,IF('0 Úvod'!$G$18+'0 Úvod'!$J$18&gt;'2 ZH'!Z$3,'2 ZH'!$G42,0)))</f>
        <v>0</v>
      </c>
      <c r="AA8" s="249">
        <f>IF('0 Úvod'!$J$16&gt;'2 ZH'!AA$3,0,IF(AA$3-'0 Úvod'!$J$16&gt;='2 ZH'!$E42,0,IF('0 Úvod'!$G$18+'0 Úvod'!$J$18&gt;'2 ZH'!AA$3,'2 ZH'!$G42,0)))</f>
        <v>0</v>
      </c>
      <c r="AB8" s="249">
        <f>IF('0 Úvod'!$J$16&gt;'2 ZH'!AB$3,0,IF(AB$3-'0 Úvod'!$J$16&gt;='2 ZH'!$E42,0,IF('0 Úvod'!$G$18+'0 Úvod'!$J$18&gt;'2 ZH'!AB$3,'2 ZH'!$G42,0)))</f>
        <v>0</v>
      </c>
      <c r="AC8" s="255">
        <f>IF('0 Úvod'!$J$16&gt;'2 ZH'!AC$3,0,IF(AC$3-'0 Úvod'!$J$16&gt;='2 ZH'!$E42,0,IF('0 Úvod'!$G$18+'0 Úvod'!$J$18&gt;'2 ZH'!AC$3,'2 ZH'!$G42,0)))</f>
        <v>0</v>
      </c>
    </row>
    <row r="9" spans="2:29" ht="12">
      <c r="B9" s="664"/>
      <c r="C9" s="654" t="str">
        <f t="shared" si="3"/>
        <v>Mosty, propustky, tunely a štoly</v>
      </c>
      <c r="D9" s="1152">
        <f t="shared" si="2"/>
        <v>0</v>
      </c>
      <c r="E9" s="260">
        <f>IF(E$3='0 Úvod'!$J$16,$G43,0)</f>
        <v>0</v>
      </c>
      <c r="F9" s="249">
        <f>IF('0 Úvod'!$J$16&gt;'2 ZH'!F$3,0,IF(F$3-'0 Úvod'!$J$16&gt;='2 ZH'!$E43,0,IF('0 Úvod'!$G$18+'0 Úvod'!$J$18&gt;'2 ZH'!F$3,'2 ZH'!$G43,0)))</f>
        <v>0</v>
      </c>
      <c r="G9" s="249">
        <f>IF('0 Úvod'!$J$16&gt;'2 ZH'!G$3,0,IF(G$3-'0 Úvod'!$J$16&gt;='2 ZH'!$E43,0,IF('0 Úvod'!$G$18+'0 Úvod'!$J$18&gt;'2 ZH'!G$3,'2 ZH'!$G43,0)))</f>
        <v>0</v>
      </c>
      <c r="H9" s="249">
        <f>IF('0 Úvod'!$J$16&gt;'2 ZH'!H$3,0,IF(H$3-'0 Úvod'!$J$16&gt;='2 ZH'!$E43,0,IF('0 Úvod'!$G$18+'0 Úvod'!$J$18&gt;'2 ZH'!H$3,'2 ZH'!$G43,0)))</f>
        <v>0</v>
      </c>
      <c r="I9" s="249">
        <f>IF('0 Úvod'!$J$16&gt;'2 ZH'!I$3,0,IF(I$3-'0 Úvod'!$J$16&gt;='2 ZH'!$E43,0,IF('0 Úvod'!$G$18+'0 Úvod'!$J$18&gt;'2 ZH'!I$3,'2 ZH'!$G43,0)))</f>
        <v>0</v>
      </c>
      <c r="J9" s="249">
        <f>IF('0 Úvod'!$J$16&gt;'2 ZH'!J$3,0,IF(J$3-'0 Úvod'!$J$16&gt;='2 ZH'!$E43,0,IF('0 Úvod'!$G$18+'0 Úvod'!$J$18&gt;'2 ZH'!J$3,'2 ZH'!$G43,0)))</f>
        <v>0</v>
      </c>
      <c r="K9" s="249">
        <f>IF('0 Úvod'!$J$16&gt;'2 ZH'!K$3,0,IF(K$3-'0 Úvod'!$J$16&gt;='2 ZH'!$E43,0,IF('0 Úvod'!$G$18+'0 Úvod'!$J$18&gt;'2 ZH'!K$3,'2 ZH'!$G43,0)))</f>
        <v>0</v>
      </c>
      <c r="L9" s="249">
        <f>IF('0 Úvod'!$J$16&gt;'2 ZH'!L$3,0,IF(L$3-'0 Úvod'!$J$16&gt;='2 ZH'!$E43,0,IF('0 Úvod'!$G$18+'0 Úvod'!$J$18&gt;'2 ZH'!L$3,'2 ZH'!$G43,0)))</f>
        <v>0</v>
      </c>
      <c r="M9" s="249">
        <f>IF('0 Úvod'!$J$16&gt;'2 ZH'!M$3,0,IF(M$3-'0 Úvod'!$J$16&gt;='2 ZH'!$E43,0,IF('0 Úvod'!$G$18+'0 Úvod'!$J$18&gt;'2 ZH'!M$3,'2 ZH'!$G43,0)))</f>
        <v>0</v>
      </c>
      <c r="N9" s="249">
        <f>IF('0 Úvod'!$J$16&gt;'2 ZH'!N$3,0,IF(N$3-'0 Úvod'!$J$16&gt;='2 ZH'!$E43,0,IF('0 Úvod'!$G$18+'0 Úvod'!$J$18&gt;'2 ZH'!N$3,'2 ZH'!$G43,0)))</f>
        <v>0</v>
      </c>
      <c r="O9" s="249">
        <f>IF('0 Úvod'!$J$16&gt;'2 ZH'!O$3,0,IF(O$3-'0 Úvod'!$J$16&gt;='2 ZH'!$E43,0,IF('0 Úvod'!$G$18+'0 Úvod'!$J$18&gt;'2 ZH'!O$3,'2 ZH'!$G43,0)))</f>
        <v>0</v>
      </c>
      <c r="P9" s="249">
        <f>IF('0 Úvod'!$J$16&gt;'2 ZH'!P$3,0,IF(P$3-'0 Úvod'!$J$16&gt;='2 ZH'!$E43,0,IF('0 Úvod'!$G$18+'0 Úvod'!$J$18&gt;'2 ZH'!P$3,'2 ZH'!$G43,0)))</f>
        <v>0</v>
      </c>
      <c r="Q9" s="249">
        <f>IF('0 Úvod'!$J$16&gt;'2 ZH'!Q$3,0,IF(Q$3-'0 Úvod'!$J$16&gt;='2 ZH'!$E43,0,IF('0 Úvod'!$G$18+'0 Úvod'!$J$18&gt;'2 ZH'!Q$3,'2 ZH'!$G43,0)))</f>
        <v>0</v>
      </c>
      <c r="R9" s="249">
        <f>IF('0 Úvod'!$J$16&gt;'2 ZH'!R$3,0,IF(R$3-'0 Úvod'!$J$16&gt;='2 ZH'!$E43,0,IF('0 Úvod'!$G$18+'0 Úvod'!$J$18&gt;'2 ZH'!R$3,'2 ZH'!$G43,0)))</f>
        <v>0</v>
      </c>
      <c r="S9" s="249">
        <f>IF('0 Úvod'!$J$16&gt;'2 ZH'!S$3,0,IF(S$3-'0 Úvod'!$J$16&gt;='2 ZH'!$E43,0,IF('0 Úvod'!$G$18+'0 Úvod'!$J$18&gt;'2 ZH'!S$3,'2 ZH'!$G43,0)))</f>
        <v>0</v>
      </c>
      <c r="T9" s="249">
        <f>IF('0 Úvod'!$J$16&gt;'2 ZH'!T$3,0,IF(T$3-'0 Úvod'!$J$16&gt;='2 ZH'!$E43,0,IF('0 Úvod'!$G$18+'0 Úvod'!$J$18&gt;'2 ZH'!T$3,'2 ZH'!$G43,0)))</f>
        <v>0</v>
      </c>
      <c r="U9" s="249">
        <f>IF('0 Úvod'!$J$16&gt;'2 ZH'!U$3,0,IF(U$3-'0 Úvod'!$J$16&gt;='2 ZH'!$E43,0,IF('0 Úvod'!$G$18+'0 Úvod'!$J$18&gt;'2 ZH'!U$3,'2 ZH'!$G43,0)))</f>
        <v>0</v>
      </c>
      <c r="V9" s="249">
        <f>IF('0 Úvod'!$J$16&gt;'2 ZH'!V$3,0,IF(V$3-'0 Úvod'!$J$16&gt;='2 ZH'!$E43,0,IF('0 Úvod'!$G$18+'0 Úvod'!$J$18&gt;'2 ZH'!V$3,'2 ZH'!$G43,0)))</f>
        <v>0</v>
      </c>
      <c r="W9" s="249">
        <f>IF('0 Úvod'!$J$16&gt;'2 ZH'!W$3,0,IF(W$3-'0 Úvod'!$J$16&gt;='2 ZH'!$E43,0,IF('0 Úvod'!$G$18+'0 Úvod'!$J$18&gt;'2 ZH'!W$3,'2 ZH'!$G43,0)))</f>
        <v>0</v>
      </c>
      <c r="X9" s="249">
        <f>IF('0 Úvod'!$J$16&gt;'2 ZH'!X$3,0,IF(X$3-'0 Úvod'!$J$16&gt;='2 ZH'!$E43,0,IF('0 Úvod'!$G$18+'0 Úvod'!$J$18&gt;'2 ZH'!X$3,'2 ZH'!$G43,0)))</f>
        <v>0</v>
      </c>
      <c r="Y9" s="249">
        <f>IF('0 Úvod'!$J$16&gt;'2 ZH'!Y$3,0,IF(Y$3-'0 Úvod'!$J$16&gt;='2 ZH'!$E43,0,IF('0 Úvod'!$G$18+'0 Úvod'!$J$18&gt;'2 ZH'!Y$3,'2 ZH'!$G43,0)))</f>
        <v>0</v>
      </c>
      <c r="Z9" s="249">
        <f>IF('0 Úvod'!$J$16&gt;'2 ZH'!Z$3,0,IF(Z$3-'0 Úvod'!$J$16&gt;='2 ZH'!$E43,0,IF('0 Úvod'!$G$18+'0 Úvod'!$J$18&gt;'2 ZH'!Z$3,'2 ZH'!$G43,0)))</f>
        <v>0</v>
      </c>
      <c r="AA9" s="249">
        <f>IF('0 Úvod'!$J$16&gt;'2 ZH'!AA$3,0,IF(AA$3-'0 Úvod'!$J$16&gt;='2 ZH'!$E43,0,IF('0 Úvod'!$G$18+'0 Úvod'!$J$18&gt;'2 ZH'!AA$3,'2 ZH'!$G43,0)))</f>
        <v>0</v>
      </c>
      <c r="AB9" s="249">
        <f>IF('0 Úvod'!$J$16&gt;'2 ZH'!AB$3,0,IF(AB$3-'0 Úvod'!$J$16&gt;='2 ZH'!$E43,0,IF('0 Úvod'!$G$18+'0 Úvod'!$J$18&gt;'2 ZH'!AB$3,'2 ZH'!$G43,0)))</f>
        <v>0</v>
      </c>
      <c r="AC9" s="255">
        <f>IF('0 Úvod'!$J$16&gt;'2 ZH'!AC$3,0,IF(AC$3-'0 Úvod'!$J$16&gt;='2 ZH'!$E43,0,IF('0 Úvod'!$G$18+'0 Úvod'!$J$18&gt;'2 ZH'!AC$3,'2 ZH'!$G43,0)))</f>
        <v>0</v>
      </c>
    </row>
    <row r="10" spans="2:29" ht="12">
      <c r="B10" s="664"/>
      <c r="C10" s="654" t="str">
        <f t="shared" si="3"/>
        <v>Pozemní stavby </v>
      </c>
      <c r="D10" s="1152">
        <f t="shared" si="2"/>
        <v>0</v>
      </c>
      <c r="E10" s="260">
        <f>IF(E$3='0 Úvod'!$J$16,$G44,0)</f>
        <v>0</v>
      </c>
      <c r="F10" s="249">
        <f>IF('0 Úvod'!$J$16&gt;'2 ZH'!F$3,0,IF(F$3-'0 Úvod'!$J$16&gt;='2 ZH'!$E44,0,IF('0 Úvod'!$G$18+'0 Úvod'!$J$18&gt;'2 ZH'!F$3,'2 ZH'!$G44,0)))</f>
        <v>0</v>
      </c>
      <c r="G10" s="249">
        <f>IF('0 Úvod'!$J$16&gt;'2 ZH'!G$3,0,IF(G$3-'0 Úvod'!$J$16&gt;='2 ZH'!$E44,0,IF('0 Úvod'!$G$18+'0 Úvod'!$J$18&gt;'2 ZH'!G$3,'2 ZH'!$G44,0)))</f>
        <v>0</v>
      </c>
      <c r="H10" s="249">
        <f>IF('0 Úvod'!$J$16&gt;'2 ZH'!H$3,0,IF(H$3-'0 Úvod'!$J$16&gt;='2 ZH'!$E44,0,IF('0 Úvod'!$G$18+'0 Úvod'!$J$18&gt;'2 ZH'!H$3,'2 ZH'!$G44,0)))</f>
        <v>0</v>
      </c>
      <c r="I10" s="249">
        <f>IF('0 Úvod'!$J$16&gt;'2 ZH'!I$3,0,IF(I$3-'0 Úvod'!$J$16&gt;='2 ZH'!$E44,0,IF('0 Úvod'!$G$18+'0 Úvod'!$J$18&gt;'2 ZH'!I$3,'2 ZH'!$G44,0)))</f>
        <v>0</v>
      </c>
      <c r="J10" s="249">
        <f>IF('0 Úvod'!$J$16&gt;'2 ZH'!J$3,0,IF(J$3-'0 Úvod'!$J$16&gt;='2 ZH'!$E44,0,IF('0 Úvod'!$G$18+'0 Úvod'!$J$18&gt;'2 ZH'!J$3,'2 ZH'!$G44,0)))</f>
        <v>0</v>
      </c>
      <c r="K10" s="249">
        <f>IF('0 Úvod'!$J$16&gt;'2 ZH'!K$3,0,IF(K$3-'0 Úvod'!$J$16&gt;='2 ZH'!$E44,0,IF('0 Úvod'!$G$18+'0 Úvod'!$J$18&gt;'2 ZH'!K$3,'2 ZH'!$G44,0)))</f>
        <v>0</v>
      </c>
      <c r="L10" s="249">
        <f>IF('0 Úvod'!$J$16&gt;'2 ZH'!L$3,0,IF(L$3-'0 Úvod'!$J$16&gt;='2 ZH'!$E44,0,IF('0 Úvod'!$G$18+'0 Úvod'!$J$18&gt;'2 ZH'!L$3,'2 ZH'!$G44,0)))</f>
        <v>0</v>
      </c>
      <c r="M10" s="249">
        <f>IF('0 Úvod'!$J$16&gt;'2 ZH'!M$3,0,IF(M$3-'0 Úvod'!$J$16&gt;='2 ZH'!$E44,0,IF('0 Úvod'!$G$18+'0 Úvod'!$J$18&gt;'2 ZH'!M$3,'2 ZH'!$G44,0)))</f>
        <v>0</v>
      </c>
      <c r="N10" s="249">
        <f>IF('0 Úvod'!$J$16&gt;'2 ZH'!N$3,0,IF(N$3-'0 Úvod'!$J$16&gt;='2 ZH'!$E44,0,IF('0 Úvod'!$G$18+'0 Úvod'!$J$18&gt;'2 ZH'!N$3,'2 ZH'!$G44,0)))</f>
        <v>0</v>
      </c>
      <c r="O10" s="249">
        <f>IF('0 Úvod'!$J$16&gt;'2 ZH'!O$3,0,IF(O$3-'0 Úvod'!$J$16&gt;='2 ZH'!$E44,0,IF('0 Úvod'!$G$18+'0 Úvod'!$J$18&gt;'2 ZH'!O$3,'2 ZH'!$G44,0)))</f>
        <v>0</v>
      </c>
      <c r="P10" s="249">
        <f>IF('0 Úvod'!$J$16&gt;'2 ZH'!P$3,0,IF(P$3-'0 Úvod'!$J$16&gt;='2 ZH'!$E44,0,IF('0 Úvod'!$G$18+'0 Úvod'!$J$18&gt;'2 ZH'!P$3,'2 ZH'!$G44,0)))</f>
        <v>0</v>
      </c>
      <c r="Q10" s="249">
        <f>IF('0 Úvod'!$J$16&gt;'2 ZH'!Q$3,0,IF(Q$3-'0 Úvod'!$J$16&gt;='2 ZH'!$E44,0,IF('0 Úvod'!$G$18+'0 Úvod'!$J$18&gt;'2 ZH'!Q$3,'2 ZH'!$G44,0)))</f>
        <v>0</v>
      </c>
      <c r="R10" s="249">
        <f>IF('0 Úvod'!$J$16&gt;'2 ZH'!R$3,0,IF(R$3-'0 Úvod'!$J$16&gt;='2 ZH'!$E44,0,IF('0 Úvod'!$G$18+'0 Úvod'!$J$18&gt;'2 ZH'!R$3,'2 ZH'!$G44,0)))</f>
        <v>0</v>
      </c>
      <c r="S10" s="249">
        <f>IF('0 Úvod'!$J$16&gt;'2 ZH'!S$3,0,IF(S$3-'0 Úvod'!$J$16&gt;='2 ZH'!$E44,0,IF('0 Úvod'!$G$18+'0 Úvod'!$J$18&gt;'2 ZH'!S$3,'2 ZH'!$G44,0)))</f>
        <v>0</v>
      </c>
      <c r="T10" s="249">
        <f>IF('0 Úvod'!$J$16&gt;'2 ZH'!T$3,0,IF(T$3-'0 Úvod'!$J$16&gt;='2 ZH'!$E44,0,IF('0 Úvod'!$G$18+'0 Úvod'!$J$18&gt;'2 ZH'!T$3,'2 ZH'!$G44,0)))</f>
        <v>0</v>
      </c>
      <c r="U10" s="249">
        <f>IF('0 Úvod'!$J$16&gt;'2 ZH'!U$3,0,IF(U$3-'0 Úvod'!$J$16&gt;='2 ZH'!$E44,0,IF('0 Úvod'!$G$18+'0 Úvod'!$J$18&gt;'2 ZH'!U$3,'2 ZH'!$G44,0)))</f>
        <v>0</v>
      </c>
      <c r="V10" s="249">
        <f>IF('0 Úvod'!$J$16&gt;'2 ZH'!V$3,0,IF(V$3-'0 Úvod'!$J$16&gt;='2 ZH'!$E44,0,IF('0 Úvod'!$G$18+'0 Úvod'!$J$18&gt;'2 ZH'!V$3,'2 ZH'!$G44,0)))</f>
        <v>0</v>
      </c>
      <c r="W10" s="249">
        <f>IF('0 Úvod'!$J$16&gt;'2 ZH'!W$3,0,IF(W$3-'0 Úvod'!$J$16&gt;='2 ZH'!$E44,0,IF('0 Úvod'!$G$18+'0 Úvod'!$J$18&gt;'2 ZH'!W$3,'2 ZH'!$G44,0)))</f>
        <v>0</v>
      </c>
      <c r="X10" s="249">
        <f>IF('0 Úvod'!$J$16&gt;'2 ZH'!X$3,0,IF(X$3-'0 Úvod'!$J$16&gt;='2 ZH'!$E44,0,IF('0 Úvod'!$G$18+'0 Úvod'!$J$18&gt;'2 ZH'!X$3,'2 ZH'!$G44,0)))</f>
        <v>0</v>
      </c>
      <c r="Y10" s="249">
        <f>IF('0 Úvod'!$J$16&gt;'2 ZH'!Y$3,0,IF(Y$3-'0 Úvod'!$J$16&gt;='2 ZH'!$E44,0,IF('0 Úvod'!$G$18+'0 Úvod'!$J$18&gt;'2 ZH'!Y$3,'2 ZH'!$G44,0)))</f>
        <v>0</v>
      </c>
      <c r="Z10" s="249">
        <f>IF('0 Úvod'!$J$16&gt;'2 ZH'!Z$3,0,IF(Z$3-'0 Úvod'!$J$16&gt;='2 ZH'!$E44,0,IF('0 Úvod'!$G$18+'0 Úvod'!$J$18&gt;'2 ZH'!Z$3,'2 ZH'!$G44,0)))</f>
        <v>0</v>
      </c>
      <c r="AA10" s="249">
        <f>IF('0 Úvod'!$J$16&gt;'2 ZH'!AA$3,0,IF(AA$3-'0 Úvod'!$J$16&gt;='2 ZH'!$E44,0,IF('0 Úvod'!$G$18+'0 Úvod'!$J$18&gt;'2 ZH'!AA$3,'2 ZH'!$G44,0)))</f>
        <v>0</v>
      </c>
      <c r="AB10" s="249">
        <f>IF('0 Úvod'!$J$16&gt;'2 ZH'!AB$3,0,IF(AB$3-'0 Úvod'!$J$16&gt;='2 ZH'!$E44,0,IF('0 Úvod'!$G$18+'0 Úvod'!$J$18&gt;'2 ZH'!AB$3,'2 ZH'!$G44,0)))</f>
        <v>0</v>
      </c>
      <c r="AC10" s="255">
        <f>IF('0 Úvod'!$J$16&gt;'2 ZH'!AC$3,0,IF(AC$3-'0 Úvod'!$J$16&gt;='2 ZH'!$E44,0,IF('0 Úvod'!$G$18+'0 Úvod'!$J$18&gt;'2 ZH'!AC$3,'2 ZH'!$G44,0)))</f>
        <v>0</v>
      </c>
    </row>
    <row r="11" spans="2:29" ht="12">
      <c r="B11" s="664"/>
      <c r="C11" s="654" t="str">
        <f t="shared" si="3"/>
        <v>Komunikace a zpevněné plochy</v>
      </c>
      <c r="D11" s="1152">
        <f t="shared" si="2"/>
        <v>0</v>
      </c>
      <c r="E11" s="260">
        <f>IF(E$3='0 Úvod'!$J$16,$G45,0)</f>
        <v>0</v>
      </c>
      <c r="F11" s="249">
        <f>IF('0 Úvod'!$J$16&gt;'2 ZH'!F$3,0,IF(F$3-'0 Úvod'!$J$16&gt;='2 ZH'!$E45,0,IF('0 Úvod'!$G$18+'0 Úvod'!$J$18&gt;'2 ZH'!F$3,'2 ZH'!$G45,0)))</f>
        <v>0</v>
      </c>
      <c r="G11" s="249">
        <f>IF('0 Úvod'!$J$16&gt;'2 ZH'!G$3,0,IF(G$3-'0 Úvod'!$J$16&gt;='2 ZH'!$E45,0,IF('0 Úvod'!$G$18+'0 Úvod'!$J$18&gt;'2 ZH'!G$3,'2 ZH'!$G45,0)))</f>
        <v>0</v>
      </c>
      <c r="H11" s="249">
        <f>IF('0 Úvod'!$J$16&gt;'2 ZH'!H$3,0,IF(H$3-'0 Úvod'!$J$16&gt;='2 ZH'!$E45,0,IF('0 Úvod'!$G$18+'0 Úvod'!$J$18&gt;'2 ZH'!H$3,'2 ZH'!$G45,0)))</f>
        <v>0</v>
      </c>
      <c r="I11" s="249">
        <f>IF('0 Úvod'!$J$16&gt;'2 ZH'!I$3,0,IF(I$3-'0 Úvod'!$J$16&gt;='2 ZH'!$E45,0,IF('0 Úvod'!$G$18+'0 Úvod'!$J$18&gt;'2 ZH'!I$3,'2 ZH'!$G45,0)))</f>
        <v>0</v>
      </c>
      <c r="J11" s="249">
        <f>IF('0 Úvod'!$J$16&gt;'2 ZH'!J$3,0,IF(J$3-'0 Úvod'!$J$16&gt;='2 ZH'!$E45,0,IF('0 Úvod'!$G$18+'0 Úvod'!$J$18&gt;'2 ZH'!J$3,'2 ZH'!$G45,0)))</f>
        <v>0</v>
      </c>
      <c r="K11" s="249">
        <f>IF('0 Úvod'!$J$16&gt;'2 ZH'!K$3,0,IF(K$3-'0 Úvod'!$J$16&gt;='2 ZH'!$E45,0,IF('0 Úvod'!$G$18+'0 Úvod'!$J$18&gt;'2 ZH'!K$3,'2 ZH'!$G45,0)))</f>
        <v>0</v>
      </c>
      <c r="L11" s="249">
        <f>IF('0 Úvod'!$J$16&gt;'2 ZH'!L$3,0,IF(L$3-'0 Úvod'!$J$16&gt;='2 ZH'!$E45,0,IF('0 Úvod'!$G$18+'0 Úvod'!$J$18&gt;'2 ZH'!L$3,'2 ZH'!$G45,0)))</f>
        <v>0</v>
      </c>
      <c r="M11" s="249">
        <f>IF('0 Úvod'!$J$16&gt;'2 ZH'!M$3,0,IF(M$3-'0 Úvod'!$J$16&gt;='2 ZH'!$E45,0,IF('0 Úvod'!$G$18+'0 Úvod'!$J$18&gt;'2 ZH'!M$3,'2 ZH'!$G45,0)))</f>
        <v>0</v>
      </c>
      <c r="N11" s="249">
        <f>IF('0 Úvod'!$J$16&gt;'2 ZH'!N$3,0,IF(N$3-'0 Úvod'!$J$16&gt;='2 ZH'!$E45,0,IF('0 Úvod'!$G$18+'0 Úvod'!$J$18&gt;'2 ZH'!N$3,'2 ZH'!$G45,0)))</f>
        <v>0</v>
      </c>
      <c r="O11" s="249">
        <f>IF('0 Úvod'!$J$16&gt;'2 ZH'!O$3,0,IF(O$3-'0 Úvod'!$J$16&gt;='2 ZH'!$E45,0,IF('0 Úvod'!$G$18+'0 Úvod'!$J$18&gt;'2 ZH'!O$3,'2 ZH'!$G45,0)))</f>
        <v>0</v>
      </c>
      <c r="P11" s="249">
        <f>IF('0 Úvod'!$J$16&gt;'2 ZH'!P$3,0,IF(P$3-'0 Úvod'!$J$16&gt;='2 ZH'!$E45,0,IF('0 Úvod'!$G$18+'0 Úvod'!$J$18&gt;'2 ZH'!P$3,'2 ZH'!$G45,0)))</f>
        <v>0</v>
      </c>
      <c r="Q11" s="249">
        <f>IF('0 Úvod'!$J$16&gt;'2 ZH'!Q$3,0,IF(Q$3-'0 Úvod'!$J$16&gt;='2 ZH'!$E45,0,IF('0 Úvod'!$G$18+'0 Úvod'!$J$18&gt;'2 ZH'!Q$3,'2 ZH'!$G45,0)))</f>
        <v>0</v>
      </c>
      <c r="R11" s="249">
        <f>IF('0 Úvod'!$J$16&gt;'2 ZH'!R$3,0,IF(R$3-'0 Úvod'!$J$16&gt;='2 ZH'!$E45,0,IF('0 Úvod'!$G$18+'0 Úvod'!$J$18&gt;'2 ZH'!R$3,'2 ZH'!$G45,0)))</f>
        <v>0</v>
      </c>
      <c r="S11" s="249">
        <f>IF('0 Úvod'!$J$16&gt;'2 ZH'!S$3,0,IF(S$3-'0 Úvod'!$J$16&gt;='2 ZH'!$E45,0,IF('0 Úvod'!$G$18+'0 Úvod'!$J$18&gt;'2 ZH'!S$3,'2 ZH'!$G45,0)))</f>
        <v>0</v>
      </c>
      <c r="T11" s="249">
        <f>IF('0 Úvod'!$J$16&gt;'2 ZH'!T$3,0,IF(T$3-'0 Úvod'!$J$16&gt;='2 ZH'!$E45,0,IF('0 Úvod'!$G$18+'0 Úvod'!$J$18&gt;'2 ZH'!T$3,'2 ZH'!$G45,0)))</f>
        <v>0</v>
      </c>
      <c r="U11" s="249">
        <f>IF('0 Úvod'!$J$16&gt;'2 ZH'!U$3,0,IF(U$3-'0 Úvod'!$J$16&gt;='2 ZH'!$E45,0,IF('0 Úvod'!$G$18+'0 Úvod'!$J$18&gt;'2 ZH'!U$3,'2 ZH'!$G45,0)))</f>
        <v>0</v>
      </c>
      <c r="V11" s="249">
        <f>IF('0 Úvod'!$J$16&gt;'2 ZH'!V$3,0,IF(V$3-'0 Úvod'!$J$16&gt;='2 ZH'!$E45,0,IF('0 Úvod'!$G$18+'0 Úvod'!$J$18&gt;'2 ZH'!V$3,'2 ZH'!$G45,0)))</f>
        <v>0</v>
      </c>
      <c r="W11" s="249">
        <f>IF('0 Úvod'!$J$16&gt;'2 ZH'!W$3,0,IF(W$3-'0 Úvod'!$J$16&gt;='2 ZH'!$E45,0,IF('0 Úvod'!$G$18+'0 Úvod'!$J$18&gt;'2 ZH'!W$3,'2 ZH'!$G45,0)))</f>
        <v>0</v>
      </c>
      <c r="X11" s="249">
        <f>IF('0 Úvod'!$J$16&gt;'2 ZH'!X$3,0,IF(X$3-'0 Úvod'!$J$16&gt;='2 ZH'!$E45,0,IF('0 Úvod'!$G$18+'0 Úvod'!$J$18&gt;'2 ZH'!X$3,'2 ZH'!$G45,0)))</f>
        <v>0</v>
      </c>
      <c r="Y11" s="249">
        <f>IF('0 Úvod'!$J$16&gt;'2 ZH'!Y$3,0,IF(Y$3-'0 Úvod'!$J$16&gt;='2 ZH'!$E45,0,IF('0 Úvod'!$G$18+'0 Úvod'!$J$18&gt;'2 ZH'!Y$3,'2 ZH'!$G45,0)))</f>
        <v>0</v>
      </c>
      <c r="Z11" s="249">
        <f>IF('0 Úvod'!$J$16&gt;'2 ZH'!Z$3,0,IF(Z$3-'0 Úvod'!$J$16&gt;='2 ZH'!$E45,0,IF('0 Úvod'!$G$18+'0 Úvod'!$J$18&gt;'2 ZH'!Z$3,'2 ZH'!$G45,0)))</f>
        <v>0</v>
      </c>
      <c r="AA11" s="249">
        <f>IF('0 Úvod'!$J$16&gt;'2 ZH'!AA$3,0,IF(AA$3-'0 Úvod'!$J$16&gt;='2 ZH'!$E45,0,IF('0 Úvod'!$G$18+'0 Úvod'!$J$18&gt;'2 ZH'!AA$3,'2 ZH'!$G45,0)))</f>
        <v>0</v>
      </c>
      <c r="AB11" s="249">
        <f>IF('0 Úvod'!$J$16&gt;'2 ZH'!AB$3,0,IF(AB$3-'0 Úvod'!$J$16&gt;='2 ZH'!$E45,0,IF('0 Úvod'!$G$18+'0 Úvod'!$J$18&gt;'2 ZH'!AB$3,'2 ZH'!$G45,0)))</f>
        <v>0</v>
      </c>
      <c r="AC11" s="255">
        <f>IF('0 Úvod'!$J$16&gt;'2 ZH'!AC$3,0,IF(AC$3-'0 Úvod'!$J$16&gt;='2 ZH'!$E45,0,IF('0 Úvod'!$G$18+'0 Úvod'!$J$18&gt;'2 ZH'!AC$3,'2 ZH'!$G45,0)))</f>
        <v>0</v>
      </c>
    </row>
    <row r="12" spans="2:29" ht="12">
      <c r="B12" s="664"/>
      <c r="C12" s="654" t="str">
        <f t="shared" si="3"/>
        <v>Silnoproudá instalace</v>
      </c>
      <c r="D12" s="1152">
        <f t="shared" si="2"/>
        <v>0</v>
      </c>
      <c r="E12" s="260">
        <f>IF(E$3='0 Úvod'!$J$16,$G46,0)</f>
        <v>0</v>
      </c>
      <c r="F12" s="249">
        <f>IF('0 Úvod'!$J$16&gt;'2 ZH'!F$3,0,IF(F$3-'0 Úvod'!$J$16&gt;='2 ZH'!$E46,0,IF('0 Úvod'!$G$18+'0 Úvod'!$J$18&gt;'2 ZH'!F$3,'2 ZH'!$G46,0)))</f>
        <v>0</v>
      </c>
      <c r="G12" s="249">
        <f>IF('0 Úvod'!$J$16&gt;'2 ZH'!G$3,0,IF(G$3-'0 Úvod'!$J$16&gt;='2 ZH'!$E46,0,IF('0 Úvod'!$G$18+'0 Úvod'!$J$18&gt;'2 ZH'!G$3,'2 ZH'!$G46,0)))</f>
        <v>0</v>
      </c>
      <c r="H12" s="249">
        <f>IF('0 Úvod'!$J$16&gt;'2 ZH'!H$3,0,IF(H$3-'0 Úvod'!$J$16&gt;='2 ZH'!$E46,0,IF('0 Úvod'!$G$18+'0 Úvod'!$J$18&gt;'2 ZH'!H$3,'2 ZH'!$G46,0)))</f>
        <v>0</v>
      </c>
      <c r="I12" s="249">
        <f>IF('0 Úvod'!$J$16&gt;'2 ZH'!I$3,0,IF(I$3-'0 Úvod'!$J$16&gt;='2 ZH'!$E46,0,IF('0 Úvod'!$G$18+'0 Úvod'!$J$18&gt;'2 ZH'!I$3,'2 ZH'!$G46,0)))</f>
        <v>0</v>
      </c>
      <c r="J12" s="249">
        <f>IF('0 Úvod'!$J$16&gt;'2 ZH'!J$3,0,IF(J$3-'0 Úvod'!$J$16&gt;='2 ZH'!$E46,0,IF('0 Úvod'!$G$18+'0 Úvod'!$J$18&gt;'2 ZH'!J$3,'2 ZH'!$G46,0)))</f>
        <v>0</v>
      </c>
      <c r="K12" s="249">
        <f>IF('0 Úvod'!$J$16&gt;'2 ZH'!K$3,0,IF(K$3-'0 Úvod'!$J$16&gt;='2 ZH'!$E46,0,IF('0 Úvod'!$G$18+'0 Úvod'!$J$18&gt;'2 ZH'!K$3,'2 ZH'!$G46,0)))</f>
        <v>0</v>
      </c>
      <c r="L12" s="249">
        <f>IF('0 Úvod'!$J$16&gt;'2 ZH'!L$3,0,IF(L$3-'0 Úvod'!$J$16&gt;='2 ZH'!$E46,0,IF('0 Úvod'!$G$18+'0 Úvod'!$J$18&gt;'2 ZH'!L$3,'2 ZH'!$G46,0)))</f>
        <v>0</v>
      </c>
      <c r="M12" s="249">
        <f>IF('0 Úvod'!$J$16&gt;'2 ZH'!M$3,0,IF(M$3-'0 Úvod'!$J$16&gt;='2 ZH'!$E46,0,IF('0 Úvod'!$G$18+'0 Úvod'!$J$18&gt;'2 ZH'!M$3,'2 ZH'!$G46,0)))</f>
        <v>0</v>
      </c>
      <c r="N12" s="249">
        <f>IF('0 Úvod'!$J$16&gt;'2 ZH'!N$3,0,IF(N$3-'0 Úvod'!$J$16&gt;='2 ZH'!$E46,0,IF('0 Úvod'!$G$18+'0 Úvod'!$J$18&gt;'2 ZH'!N$3,'2 ZH'!$G46,0)))</f>
        <v>0</v>
      </c>
      <c r="O12" s="249">
        <f>IF('0 Úvod'!$J$16&gt;'2 ZH'!O$3,0,IF(O$3-'0 Úvod'!$J$16&gt;='2 ZH'!$E46,0,IF('0 Úvod'!$G$18+'0 Úvod'!$J$18&gt;'2 ZH'!O$3,'2 ZH'!$G46,0)))</f>
        <v>0</v>
      </c>
      <c r="P12" s="249">
        <f>IF('0 Úvod'!$J$16&gt;'2 ZH'!P$3,0,IF(P$3-'0 Úvod'!$J$16&gt;='2 ZH'!$E46,0,IF('0 Úvod'!$G$18+'0 Úvod'!$J$18&gt;'2 ZH'!P$3,'2 ZH'!$G46,0)))</f>
        <v>0</v>
      </c>
      <c r="Q12" s="249">
        <f>IF('0 Úvod'!$J$16&gt;'2 ZH'!Q$3,0,IF(Q$3-'0 Úvod'!$J$16&gt;='2 ZH'!$E46,0,IF('0 Úvod'!$G$18+'0 Úvod'!$J$18&gt;'2 ZH'!Q$3,'2 ZH'!$G46,0)))</f>
        <v>0</v>
      </c>
      <c r="R12" s="249">
        <f>IF('0 Úvod'!$J$16&gt;'2 ZH'!R$3,0,IF(R$3-'0 Úvod'!$J$16&gt;='2 ZH'!$E46,0,IF('0 Úvod'!$G$18+'0 Úvod'!$J$18&gt;'2 ZH'!R$3,'2 ZH'!$G46,0)))</f>
        <v>0</v>
      </c>
      <c r="S12" s="249">
        <f>IF('0 Úvod'!$J$16&gt;'2 ZH'!S$3,0,IF(S$3-'0 Úvod'!$J$16&gt;='2 ZH'!$E46,0,IF('0 Úvod'!$G$18+'0 Úvod'!$J$18&gt;'2 ZH'!S$3,'2 ZH'!$G46,0)))</f>
        <v>0</v>
      </c>
      <c r="T12" s="249">
        <f>IF('0 Úvod'!$J$16&gt;'2 ZH'!T$3,0,IF(T$3-'0 Úvod'!$J$16&gt;='2 ZH'!$E46,0,IF('0 Úvod'!$G$18+'0 Úvod'!$J$18&gt;'2 ZH'!T$3,'2 ZH'!$G46,0)))</f>
        <v>0</v>
      </c>
      <c r="U12" s="249">
        <f>IF('0 Úvod'!$J$16&gt;'2 ZH'!U$3,0,IF(U$3-'0 Úvod'!$J$16&gt;='2 ZH'!$E46,0,IF('0 Úvod'!$G$18+'0 Úvod'!$J$18&gt;'2 ZH'!U$3,'2 ZH'!$G46,0)))</f>
        <v>0</v>
      </c>
      <c r="V12" s="249">
        <f>IF('0 Úvod'!$J$16&gt;'2 ZH'!V$3,0,IF(V$3-'0 Úvod'!$J$16&gt;='2 ZH'!$E46,0,IF('0 Úvod'!$G$18+'0 Úvod'!$J$18&gt;'2 ZH'!V$3,'2 ZH'!$G46,0)))</f>
        <v>0</v>
      </c>
      <c r="W12" s="249">
        <f>IF('0 Úvod'!$J$16&gt;'2 ZH'!W$3,0,IF(W$3-'0 Úvod'!$J$16&gt;='2 ZH'!$E46,0,IF('0 Úvod'!$G$18+'0 Úvod'!$J$18&gt;'2 ZH'!W$3,'2 ZH'!$G46,0)))</f>
        <v>0</v>
      </c>
      <c r="X12" s="249">
        <f>IF('0 Úvod'!$J$16&gt;'2 ZH'!X$3,0,IF(X$3-'0 Úvod'!$J$16&gt;='2 ZH'!$E46,0,IF('0 Úvod'!$G$18+'0 Úvod'!$J$18&gt;'2 ZH'!X$3,'2 ZH'!$G46,0)))</f>
        <v>0</v>
      </c>
      <c r="Y12" s="249">
        <f>IF('0 Úvod'!$J$16&gt;'2 ZH'!Y$3,0,IF(Y$3-'0 Úvod'!$J$16&gt;='2 ZH'!$E46,0,IF('0 Úvod'!$G$18+'0 Úvod'!$J$18&gt;'2 ZH'!Y$3,'2 ZH'!$G46,0)))</f>
        <v>0</v>
      </c>
      <c r="Z12" s="249">
        <f>IF('0 Úvod'!$J$16&gt;'2 ZH'!Z$3,0,IF(Z$3-'0 Úvod'!$J$16&gt;='2 ZH'!$E46,0,IF('0 Úvod'!$G$18+'0 Úvod'!$J$18&gt;'2 ZH'!Z$3,'2 ZH'!$G46,0)))</f>
        <v>0</v>
      </c>
      <c r="AA12" s="249">
        <f>IF('0 Úvod'!$J$16&gt;'2 ZH'!AA$3,0,IF(AA$3-'0 Úvod'!$J$16&gt;='2 ZH'!$E46,0,IF('0 Úvod'!$G$18+'0 Úvod'!$J$18&gt;'2 ZH'!AA$3,'2 ZH'!$G46,0)))</f>
        <v>0</v>
      </c>
      <c r="AB12" s="249">
        <f>IF('0 Úvod'!$J$16&gt;'2 ZH'!AB$3,0,IF(AB$3-'0 Úvod'!$J$16&gt;='2 ZH'!$E46,0,IF('0 Úvod'!$G$18+'0 Úvod'!$J$18&gt;'2 ZH'!AB$3,'2 ZH'!$G46,0)))</f>
        <v>0</v>
      </c>
      <c r="AC12" s="255">
        <f>IF('0 Úvod'!$J$16&gt;'2 ZH'!AC$3,0,IF(AC$3-'0 Úvod'!$J$16&gt;='2 ZH'!$E46,0,IF('0 Úvod'!$G$18+'0 Úvod'!$J$18&gt;'2 ZH'!AC$3,'2 ZH'!$G46,0)))</f>
        <v>0</v>
      </c>
    </row>
    <row r="13" spans="2:29" ht="12">
      <c r="B13" s="664"/>
      <c r="C13" s="654" t="str">
        <f t="shared" si="3"/>
        <v>Slaboproudá instalace</v>
      </c>
      <c r="D13" s="1152">
        <f t="shared" si="2"/>
        <v>0</v>
      </c>
      <c r="E13" s="260">
        <f>IF(E$3='0 Úvod'!$J$16,$G47,0)</f>
        <v>0</v>
      </c>
      <c r="F13" s="249">
        <f>IF('0 Úvod'!$J$16&gt;'2 ZH'!F$3,0,IF(F$3-'0 Úvod'!$J$16&gt;='2 ZH'!$E47,0,IF('0 Úvod'!$G$18+'0 Úvod'!$J$18&gt;'2 ZH'!F$3,'2 ZH'!$G47,0)))</f>
        <v>0</v>
      </c>
      <c r="G13" s="249">
        <f>IF('0 Úvod'!$J$16&gt;'2 ZH'!G$3,0,IF(G$3-'0 Úvod'!$J$16&gt;='2 ZH'!$E47,0,IF('0 Úvod'!$G$18+'0 Úvod'!$J$18&gt;'2 ZH'!G$3,'2 ZH'!$G47,0)))</f>
        <v>0</v>
      </c>
      <c r="H13" s="249">
        <f>IF('0 Úvod'!$J$16&gt;'2 ZH'!H$3,0,IF(H$3-'0 Úvod'!$J$16&gt;='2 ZH'!$E47,0,IF('0 Úvod'!$G$18+'0 Úvod'!$J$18&gt;'2 ZH'!H$3,'2 ZH'!$G47,0)))</f>
        <v>0</v>
      </c>
      <c r="I13" s="249">
        <f>IF('0 Úvod'!$J$16&gt;'2 ZH'!I$3,0,IF(I$3-'0 Úvod'!$J$16&gt;='2 ZH'!$E47,0,IF('0 Úvod'!$G$18+'0 Úvod'!$J$18&gt;'2 ZH'!I$3,'2 ZH'!$G47,0)))</f>
        <v>0</v>
      </c>
      <c r="J13" s="249">
        <f>IF('0 Úvod'!$J$16&gt;'2 ZH'!J$3,0,IF(J$3-'0 Úvod'!$J$16&gt;='2 ZH'!$E47,0,IF('0 Úvod'!$G$18+'0 Úvod'!$J$18&gt;'2 ZH'!J$3,'2 ZH'!$G47,0)))</f>
        <v>0</v>
      </c>
      <c r="K13" s="249">
        <f>IF('0 Úvod'!$J$16&gt;'2 ZH'!K$3,0,IF(K$3-'0 Úvod'!$J$16&gt;='2 ZH'!$E47,0,IF('0 Úvod'!$G$18+'0 Úvod'!$J$18&gt;'2 ZH'!K$3,'2 ZH'!$G47,0)))</f>
        <v>0</v>
      </c>
      <c r="L13" s="249">
        <f>IF('0 Úvod'!$J$16&gt;'2 ZH'!L$3,0,IF(L$3-'0 Úvod'!$J$16&gt;='2 ZH'!$E47,0,IF('0 Úvod'!$G$18+'0 Úvod'!$J$18&gt;'2 ZH'!L$3,'2 ZH'!$G47,0)))</f>
        <v>0</v>
      </c>
      <c r="M13" s="249">
        <f>IF('0 Úvod'!$J$16&gt;'2 ZH'!M$3,0,IF(M$3-'0 Úvod'!$J$16&gt;='2 ZH'!$E47,0,IF('0 Úvod'!$G$18+'0 Úvod'!$J$18&gt;'2 ZH'!M$3,'2 ZH'!$G47,0)))</f>
        <v>0</v>
      </c>
      <c r="N13" s="249">
        <f>IF('0 Úvod'!$J$16&gt;'2 ZH'!N$3,0,IF(N$3-'0 Úvod'!$J$16&gt;='2 ZH'!$E47,0,IF('0 Úvod'!$G$18+'0 Úvod'!$J$18&gt;'2 ZH'!N$3,'2 ZH'!$G47,0)))</f>
        <v>0</v>
      </c>
      <c r="O13" s="249">
        <f>IF('0 Úvod'!$J$16&gt;'2 ZH'!O$3,0,IF(O$3-'0 Úvod'!$J$16&gt;='2 ZH'!$E47,0,IF('0 Úvod'!$G$18+'0 Úvod'!$J$18&gt;'2 ZH'!O$3,'2 ZH'!$G47,0)))</f>
        <v>0</v>
      </c>
      <c r="P13" s="249">
        <f>IF('0 Úvod'!$J$16&gt;'2 ZH'!P$3,0,IF(P$3-'0 Úvod'!$J$16&gt;='2 ZH'!$E47,0,IF('0 Úvod'!$G$18+'0 Úvod'!$J$18&gt;'2 ZH'!P$3,'2 ZH'!$G47,0)))</f>
        <v>0</v>
      </c>
      <c r="Q13" s="249">
        <f>IF('0 Úvod'!$J$16&gt;'2 ZH'!Q$3,0,IF(Q$3-'0 Úvod'!$J$16&gt;='2 ZH'!$E47,0,IF('0 Úvod'!$G$18+'0 Úvod'!$J$18&gt;'2 ZH'!Q$3,'2 ZH'!$G47,0)))</f>
        <v>0</v>
      </c>
      <c r="R13" s="249">
        <f>IF('0 Úvod'!$J$16&gt;'2 ZH'!R$3,0,IF(R$3-'0 Úvod'!$J$16&gt;='2 ZH'!$E47,0,IF('0 Úvod'!$G$18+'0 Úvod'!$J$18&gt;'2 ZH'!R$3,'2 ZH'!$G47,0)))</f>
        <v>0</v>
      </c>
      <c r="S13" s="249">
        <f>IF('0 Úvod'!$J$16&gt;'2 ZH'!S$3,0,IF(S$3-'0 Úvod'!$J$16&gt;='2 ZH'!$E47,0,IF('0 Úvod'!$G$18+'0 Úvod'!$J$18&gt;'2 ZH'!S$3,'2 ZH'!$G47,0)))</f>
        <v>0</v>
      </c>
      <c r="T13" s="249">
        <f>IF('0 Úvod'!$J$16&gt;'2 ZH'!T$3,0,IF(T$3-'0 Úvod'!$J$16&gt;='2 ZH'!$E47,0,IF('0 Úvod'!$G$18+'0 Úvod'!$J$18&gt;'2 ZH'!T$3,'2 ZH'!$G47,0)))</f>
        <v>0</v>
      </c>
      <c r="U13" s="249">
        <f>IF('0 Úvod'!$J$16&gt;'2 ZH'!U$3,0,IF(U$3-'0 Úvod'!$J$16&gt;='2 ZH'!$E47,0,IF('0 Úvod'!$G$18+'0 Úvod'!$J$18&gt;'2 ZH'!U$3,'2 ZH'!$G47,0)))</f>
        <v>0</v>
      </c>
      <c r="V13" s="249">
        <f>IF('0 Úvod'!$J$16&gt;'2 ZH'!V$3,0,IF(V$3-'0 Úvod'!$J$16&gt;='2 ZH'!$E47,0,IF('0 Úvod'!$G$18+'0 Úvod'!$J$18&gt;'2 ZH'!V$3,'2 ZH'!$G47,0)))</f>
        <v>0</v>
      </c>
      <c r="W13" s="249">
        <f>IF('0 Úvod'!$J$16&gt;'2 ZH'!W$3,0,IF(W$3-'0 Úvod'!$J$16&gt;='2 ZH'!$E47,0,IF('0 Úvod'!$G$18+'0 Úvod'!$J$18&gt;'2 ZH'!W$3,'2 ZH'!$G47,0)))</f>
        <v>0</v>
      </c>
      <c r="X13" s="249">
        <f>IF('0 Úvod'!$J$16&gt;'2 ZH'!X$3,0,IF(X$3-'0 Úvod'!$J$16&gt;='2 ZH'!$E47,0,IF('0 Úvod'!$G$18+'0 Úvod'!$J$18&gt;'2 ZH'!X$3,'2 ZH'!$G47,0)))</f>
        <v>0</v>
      </c>
      <c r="Y13" s="249">
        <f>IF('0 Úvod'!$J$16&gt;'2 ZH'!Y$3,0,IF(Y$3-'0 Úvod'!$J$16&gt;='2 ZH'!$E47,0,IF('0 Úvod'!$G$18+'0 Úvod'!$J$18&gt;'2 ZH'!Y$3,'2 ZH'!$G47,0)))</f>
        <v>0</v>
      </c>
      <c r="Z13" s="249">
        <f>IF('0 Úvod'!$J$16&gt;'2 ZH'!Z$3,0,IF(Z$3-'0 Úvod'!$J$16&gt;='2 ZH'!$E47,0,IF('0 Úvod'!$G$18+'0 Úvod'!$J$18&gt;'2 ZH'!Z$3,'2 ZH'!$G47,0)))</f>
        <v>0</v>
      </c>
      <c r="AA13" s="249">
        <f>IF('0 Úvod'!$J$16&gt;'2 ZH'!AA$3,0,IF(AA$3-'0 Úvod'!$J$16&gt;='2 ZH'!$E47,0,IF('0 Úvod'!$G$18+'0 Úvod'!$J$18&gt;'2 ZH'!AA$3,'2 ZH'!$G47,0)))</f>
        <v>0</v>
      </c>
      <c r="AB13" s="249">
        <f>IF('0 Úvod'!$J$16&gt;'2 ZH'!AB$3,0,IF(AB$3-'0 Úvod'!$J$16&gt;='2 ZH'!$E47,0,IF('0 Úvod'!$G$18+'0 Úvod'!$J$18&gt;'2 ZH'!AB$3,'2 ZH'!$G47,0)))</f>
        <v>0</v>
      </c>
      <c r="AC13" s="255">
        <f>IF('0 Úvod'!$J$16&gt;'2 ZH'!AC$3,0,IF(AC$3-'0 Úvod'!$J$16&gt;='2 ZH'!$E47,0,IF('0 Úvod'!$G$18+'0 Úvod'!$J$18&gt;'2 ZH'!AC$3,'2 ZH'!$G47,0)))</f>
        <v>0</v>
      </c>
    </row>
    <row r="14" spans="2:29" ht="12">
      <c r="B14" s="664"/>
      <c r="C14" s="654" t="str">
        <f t="shared" si="3"/>
        <v>Inženýrské objekty (trubní vedení a kabelovody)</v>
      </c>
      <c r="D14" s="1152">
        <f t="shared" si="2"/>
        <v>0</v>
      </c>
      <c r="E14" s="260">
        <f>IF(E$3='0 Úvod'!$J$16,$G48,0)</f>
        <v>0</v>
      </c>
      <c r="F14" s="249">
        <f>IF('0 Úvod'!$J$16&gt;'2 ZH'!F$3,0,IF(F$3-'0 Úvod'!$J$16&gt;='2 ZH'!$E48,0,IF('0 Úvod'!$G$18+'0 Úvod'!$J$18&gt;'2 ZH'!F$3,'2 ZH'!$G48,0)))</f>
        <v>0</v>
      </c>
      <c r="G14" s="249">
        <f>IF('0 Úvod'!$J$16&gt;'2 ZH'!G$3,0,IF(G$3-'0 Úvod'!$J$16&gt;='2 ZH'!$E48,0,IF('0 Úvod'!$G$18+'0 Úvod'!$J$18&gt;'2 ZH'!G$3,'2 ZH'!$G48,0)))</f>
        <v>0</v>
      </c>
      <c r="H14" s="249">
        <f>IF('0 Úvod'!$J$16&gt;'2 ZH'!H$3,0,IF(H$3-'0 Úvod'!$J$16&gt;='2 ZH'!$E48,0,IF('0 Úvod'!$G$18+'0 Úvod'!$J$18&gt;'2 ZH'!H$3,'2 ZH'!$G48,0)))</f>
        <v>0</v>
      </c>
      <c r="I14" s="249">
        <f>IF('0 Úvod'!$J$16&gt;'2 ZH'!I$3,0,IF(I$3-'0 Úvod'!$J$16&gt;='2 ZH'!$E48,0,IF('0 Úvod'!$G$18+'0 Úvod'!$J$18&gt;'2 ZH'!I$3,'2 ZH'!$G48,0)))</f>
        <v>0</v>
      </c>
      <c r="J14" s="249">
        <f>IF('0 Úvod'!$J$16&gt;'2 ZH'!J$3,0,IF(J$3-'0 Úvod'!$J$16&gt;='2 ZH'!$E48,0,IF('0 Úvod'!$G$18+'0 Úvod'!$J$18&gt;'2 ZH'!J$3,'2 ZH'!$G48,0)))</f>
        <v>0</v>
      </c>
      <c r="K14" s="249">
        <f>IF('0 Úvod'!$J$16&gt;'2 ZH'!K$3,0,IF(K$3-'0 Úvod'!$J$16&gt;='2 ZH'!$E48,0,IF('0 Úvod'!$G$18+'0 Úvod'!$J$18&gt;'2 ZH'!K$3,'2 ZH'!$G48,0)))</f>
        <v>0</v>
      </c>
      <c r="L14" s="249">
        <f>IF('0 Úvod'!$J$16&gt;'2 ZH'!L$3,0,IF(L$3-'0 Úvod'!$J$16&gt;='2 ZH'!$E48,0,IF('0 Úvod'!$G$18+'0 Úvod'!$J$18&gt;'2 ZH'!L$3,'2 ZH'!$G48,0)))</f>
        <v>0</v>
      </c>
      <c r="M14" s="249">
        <f>IF('0 Úvod'!$J$16&gt;'2 ZH'!M$3,0,IF(M$3-'0 Úvod'!$J$16&gt;='2 ZH'!$E48,0,IF('0 Úvod'!$G$18+'0 Úvod'!$J$18&gt;'2 ZH'!M$3,'2 ZH'!$G48,0)))</f>
        <v>0</v>
      </c>
      <c r="N14" s="249">
        <f>IF('0 Úvod'!$J$16&gt;'2 ZH'!N$3,0,IF(N$3-'0 Úvod'!$J$16&gt;='2 ZH'!$E48,0,IF('0 Úvod'!$G$18+'0 Úvod'!$J$18&gt;'2 ZH'!N$3,'2 ZH'!$G48,0)))</f>
        <v>0</v>
      </c>
      <c r="O14" s="249">
        <f>IF('0 Úvod'!$J$16&gt;'2 ZH'!O$3,0,IF(O$3-'0 Úvod'!$J$16&gt;='2 ZH'!$E48,0,IF('0 Úvod'!$G$18+'0 Úvod'!$J$18&gt;'2 ZH'!O$3,'2 ZH'!$G48,0)))</f>
        <v>0</v>
      </c>
      <c r="P14" s="249">
        <f>IF('0 Úvod'!$J$16&gt;'2 ZH'!P$3,0,IF(P$3-'0 Úvod'!$J$16&gt;='2 ZH'!$E48,0,IF('0 Úvod'!$G$18+'0 Úvod'!$J$18&gt;'2 ZH'!P$3,'2 ZH'!$G48,0)))</f>
        <v>0</v>
      </c>
      <c r="Q14" s="249">
        <f>IF('0 Úvod'!$J$16&gt;'2 ZH'!Q$3,0,IF(Q$3-'0 Úvod'!$J$16&gt;='2 ZH'!$E48,0,IF('0 Úvod'!$G$18+'0 Úvod'!$J$18&gt;'2 ZH'!Q$3,'2 ZH'!$G48,0)))</f>
        <v>0</v>
      </c>
      <c r="R14" s="249">
        <f>IF('0 Úvod'!$J$16&gt;'2 ZH'!R$3,0,IF(R$3-'0 Úvod'!$J$16&gt;='2 ZH'!$E48,0,IF('0 Úvod'!$G$18+'0 Úvod'!$J$18&gt;'2 ZH'!R$3,'2 ZH'!$G48,0)))</f>
        <v>0</v>
      </c>
      <c r="S14" s="249">
        <f>IF('0 Úvod'!$J$16&gt;'2 ZH'!S$3,0,IF(S$3-'0 Úvod'!$J$16&gt;='2 ZH'!$E48,0,IF('0 Úvod'!$G$18+'0 Úvod'!$J$18&gt;'2 ZH'!S$3,'2 ZH'!$G48,0)))</f>
        <v>0</v>
      </c>
      <c r="T14" s="249">
        <f>IF('0 Úvod'!$J$16&gt;'2 ZH'!T$3,0,IF(T$3-'0 Úvod'!$J$16&gt;='2 ZH'!$E48,0,IF('0 Úvod'!$G$18+'0 Úvod'!$J$18&gt;'2 ZH'!T$3,'2 ZH'!$G48,0)))</f>
        <v>0</v>
      </c>
      <c r="U14" s="249">
        <f>IF('0 Úvod'!$J$16&gt;'2 ZH'!U$3,0,IF(U$3-'0 Úvod'!$J$16&gt;='2 ZH'!$E48,0,IF('0 Úvod'!$G$18+'0 Úvod'!$J$18&gt;'2 ZH'!U$3,'2 ZH'!$G48,0)))</f>
        <v>0</v>
      </c>
      <c r="V14" s="249">
        <f>IF('0 Úvod'!$J$16&gt;'2 ZH'!V$3,0,IF(V$3-'0 Úvod'!$J$16&gt;='2 ZH'!$E48,0,IF('0 Úvod'!$G$18+'0 Úvod'!$J$18&gt;'2 ZH'!V$3,'2 ZH'!$G48,0)))</f>
        <v>0</v>
      </c>
      <c r="W14" s="249">
        <f>IF('0 Úvod'!$J$16&gt;'2 ZH'!W$3,0,IF(W$3-'0 Úvod'!$J$16&gt;='2 ZH'!$E48,0,IF('0 Úvod'!$G$18+'0 Úvod'!$J$18&gt;'2 ZH'!W$3,'2 ZH'!$G48,0)))</f>
        <v>0</v>
      </c>
      <c r="X14" s="249">
        <f>IF('0 Úvod'!$J$16&gt;'2 ZH'!X$3,0,IF(X$3-'0 Úvod'!$J$16&gt;='2 ZH'!$E48,0,IF('0 Úvod'!$G$18+'0 Úvod'!$J$18&gt;'2 ZH'!X$3,'2 ZH'!$G48,0)))</f>
        <v>0</v>
      </c>
      <c r="Y14" s="249">
        <f>IF('0 Úvod'!$J$16&gt;'2 ZH'!Y$3,0,IF(Y$3-'0 Úvod'!$J$16&gt;='2 ZH'!$E48,0,IF('0 Úvod'!$G$18+'0 Úvod'!$J$18&gt;'2 ZH'!Y$3,'2 ZH'!$G48,0)))</f>
        <v>0</v>
      </c>
      <c r="Z14" s="249">
        <f>IF('0 Úvod'!$J$16&gt;'2 ZH'!Z$3,0,IF(Z$3-'0 Úvod'!$J$16&gt;='2 ZH'!$E48,0,IF('0 Úvod'!$G$18+'0 Úvod'!$J$18&gt;'2 ZH'!Z$3,'2 ZH'!$G48,0)))</f>
        <v>0</v>
      </c>
      <c r="AA14" s="249">
        <f>IF('0 Úvod'!$J$16&gt;'2 ZH'!AA$3,0,IF(AA$3-'0 Úvod'!$J$16&gt;='2 ZH'!$E48,0,IF('0 Úvod'!$G$18+'0 Úvod'!$J$18&gt;'2 ZH'!AA$3,'2 ZH'!$G48,0)))</f>
        <v>0</v>
      </c>
      <c r="AB14" s="249">
        <f>IF('0 Úvod'!$J$16&gt;'2 ZH'!AB$3,0,IF(AB$3-'0 Úvod'!$J$16&gt;='2 ZH'!$E48,0,IF('0 Úvod'!$G$18+'0 Úvod'!$J$18&gt;'2 ZH'!AB$3,'2 ZH'!$G48,0)))</f>
        <v>0</v>
      </c>
      <c r="AC14" s="255">
        <f>IF('0 Úvod'!$J$16&gt;'2 ZH'!AC$3,0,IF(AC$3-'0 Úvod'!$J$16&gt;='2 ZH'!$E48,0,IF('0 Úvod'!$G$18+'0 Úvod'!$J$18&gt;'2 ZH'!AC$3,'2 ZH'!$G48,0)))</f>
        <v>0</v>
      </c>
    </row>
    <row r="15" spans="2:29" ht="12">
      <c r="B15" s="664"/>
      <c r="C15" s="654" t="str">
        <f t="shared" si="3"/>
        <v>Úpravy vodního toku a terénní úpravy</v>
      </c>
      <c r="D15" s="1152">
        <f t="shared" si="2"/>
        <v>0</v>
      </c>
      <c r="E15" s="260">
        <f>IF(E$3='0 Úvod'!$J$16,$G49,0)</f>
        <v>0</v>
      </c>
      <c r="F15" s="249">
        <f>IF('0 Úvod'!$J$16&gt;'2 ZH'!F$3,0,IF(F$3-'0 Úvod'!$J$16&gt;='2 ZH'!$E49,0,IF('0 Úvod'!$G$18+'0 Úvod'!$J$18&gt;'2 ZH'!F$3,'2 ZH'!$G49,0)))</f>
        <v>0</v>
      </c>
      <c r="G15" s="249">
        <f>IF('0 Úvod'!$J$16&gt;'2 ZH'!G$3,0,IF(G$3-'0 Úvod'!$J$16&gt;='2 ZH'!$E49,0,IF('0 Úvod'!$G$18+'0 Úvod'!$J$18&gt;'2 ZH'!G$3,'2 ZH'!$G49,0)))</f>
        <v>0</v>
      </c>
      <c r="H15" s="249">
        <f>IF('0 Úvod'!$J$16&gt;'2 ZH'!H$3,0,IF(H$3-'0 Úvod'!$J$16&gt;='2 ZH'!$E49,0,IF('0 Úvod'!$G$18+'0 Úvod'!$J$18&gt;'2 ZH'!H$3,'2 ZH'!$G49,0)))</f>
        <v>0</v>
      </c>
      <c r="I15" s="249">
        <f>IF('0 Úvod'!$J$16&gt;'2 ZH'!I$3,0,IF(I$3-'0 Úvod'!$J$16&gt;='2 ZH'!$E49,0,IF('0 Úvod'!$G$18+'0 Úvod'!$J$18&gt;'2 ZH'!I$3,'2 ZH'!$G49,0)))</f>
        <v>0</v>
      </c>
      <c r="J15" s="249">
        <f>IF('0 Úvod'!$J$16&gt;'2 ZH'!J$3,0,IF(J$3-'0 Úvod'!$J$16&gt;='2 ZH'!$E49,0,IF('0 Úvod'!$G$18+'0 Úvod'!$J$18&gt;'2 ZH'!J$3,'2 ZH'!$G49,0)))</f>
        <v>0</v>
      </c>
      <c r="K15" s="249">
        <f>IF('0 Úvod'!$J$16&gt;'2 ZH'!K$3,0,IF(K$3-'0 Úvod'!$J$16&gt;='2 ZH'!$E49,0,IF('0 Úvod'!$G$18+'0 Úvod'!$J$18&gt;'2 ZH'!K$3,'2 ZH'!$G49,0)))</f>
        <v>0</v>
      </c>
      <c r="L15" s="249">
        <f>IF('0 Úvod'!$J$16&gt;'2 ZH'!L$3,0,IF(L$3-'0 Úvod'!$J$16&gt;='2 ZH'!$E49,0,IF('0 Úvod'!$G$18+'0 Úvod'!$J$18&gt;'2 ZH'!L$3,'2 ZH'!$G49,0)))</f>
        <v>0</v>
      </c>
      <c r="M15" s="249">
        <f>IF('0 Úvod'!$J$16&gt;'2 ZH'!M$3,0,IF(M$3-'0 Úvod'!$J$16&gt;='2 ZH'!$E49,0,IF('0 Úvod'!$G$18+'0 Úvod'!$J$18&gt;'2 ZH'!M$3,'2 ZH'!$G49,0)))</f>
        <v>0</v>
      </c>
      <c r="N15" s="249">
        <f>IF('0 Úvod'!$J$16&gt;'2 ZH'!N$3,0,IF(N$3-'0 Úvod'!$J$16&gt;='2 ZH'!$E49,0,IF('0 Úvod'!$G$18+'0 Úvod'!$J$18&gt;'2 ZH'!N$3,'2 ZH'!$G49,0)))</f>
        <v>0</v>
      </c>
      <c r="O15" s="249">
        <f>IF('0 Úvod'!$J$16&gt;'2 ZH'!O$3,0,IF(O$3-'0 Úvod'!$J$16&gt;='2 ZH'!$E49,0,IF('0 Úvod'!$G$18+'0 Úvod'!$J$18&gt;'2 ZH'!O$3,'2 ZH'!$G49,0)))</f>
        <v>0</v>
      </c>
      <c r="P15" s="249">
        <f>IF('0 Úvod'!$J$16&gt;'2 ZH'!P$3,0,IF(P$3-'0 Úvod'!$J$16&gt;='2 ZH'!$E49,0,IF('0 Úvod'!$G$18+'0 Úvod'!$J$18&gt;'2 ZH'!P$3,'2 ZH'!$G49,0)))</f>
        <v>0</v>
      </c>
      <c r="Q15" s="249">
        <f>IF('0 Úvod'!$J$16&gt;'2 ZH'!Q$3,0,IF(Q$3-'0 Úvod'!$J$16&gt;='2 ZH'!$E49,0,IF('0 Úvod'!$G$18+'0 Úvod'!$J$18&gt;'2 ZH'!Q$3,'2 ZH'!$G49,0)))</f>
        <v>0</v>
      </c>
      <c r="R15" s="249">
        <f>IF('0 Úvod'!$J$16&gt;'2 ZH'!R$3,0,IF(R$3-'0 Úvod'!$J$16&gt;='2 ZH'!$E49,0,IF('0 Úvod'!$G$18+'0 Úvod'!$J$18&gt;'2 ZH'!R$3,'2 ZH'!$G49,0)))</f>
        <v>0</v>
      </c>
      <c r="S15" s="249">
        <f>IF('0 Úvod'!$J$16&gt;'2 ZH'!S$3,0,IF(S$3-'0 Úvod'!$J$16&gt;='2 ZH'!$E49,0,IF('0 Úvod'!$G$18+'0 Úvod'!$J$18&gt;'2 ZH'!S$3,'2 ZH'!$G49,0)))</f>
        <v>0</v>
      </c>
      <c r="T15" s="249">
        <f>IF('0 Úvod'!$J$16&gt;'2 ZH'!T$3,0,IF(T$3-'0 Úvod'!$J$16&gt;='2 ZH'!$E49,0,IF('0 Úvod'!$G$18+'0 Úvod'!$J$18&gt;'2 ZH'!T$3,'2 ZH'!$G49,0)))</f>
        <v>0</v>
      </c>
      <c r="U15" s="249">
        <f>IF('0 Úvod'!$J$16&gt;'2 ZH'!U$3,0,IF(U$3-'0 Úvod'!$J$16&gt;='2 ZH'!$E49,0,IF('0 Úvod'!$G$18+'0 Úvod'!$J$18&gt;'2 ZH'!U$3,'2 ZH'!$G49,0)))</f>
        <v>0</v>
      </c>
      <c r="V15" s="249">
        <f>IF('0 Úvod'!$J$16&gt;'2 ZH'!V$3,0,IF(V$3-'0 Úvod'!$J$16&gt;='2 ZH'!$E49,0,IF('0 Úvod'!$G$18+'0 Úvod'!$J$18&gt;'2 ZH'!V$3,'2 ZH'!$G49,0)))</f>
        <v>0</v>
      </c>
      <c r="W15" s="249">
        <f>IF('0 Úvod'!$J$16&gt;'2 ZH'!W$3,0,IF(W$3-'0 Úvod'!$J$16&gt;='2 ZH'!$E49,0,IF('0 Úvod'!$G$18+'0 Úvod'!$J$18&gt;'2 ZH'!W$3,'2 ZH'!$G49,0)))</f>
        <v>0</v>
      </c>
      <c r="X15" s="249">
        <f>IF('0 Úvod'!$J$16&gt;'2 ZH'!X$3,0,IF(X$3-'0 Úvod'!$J$16&gt;='2 ZH'!$E49,0,IF('0 Úvod'!$G$18+'0 Úvod'!$J$18&gt;'2 ZH'!X$3,'2 ZH'!$G49,0)))</f>
        <v>0</v>
      </c>
      <c r="Y15" s="249">
        <f>IF('0 Úvod'!$J$16&gt;'2 ZH'!Y$3,0,IF(Y$3-'0 Úvod'!$J$16&gt;='2 ZH'!$E49,0,IF('0 Úvod'!$G$18+'0 Úvod'!$J$18&gt;'2 ZH'!Y$3,'2 ZH'!$G49,0)))</f>
        <v>0</v>
      </c>
      <c r="Z15" s="249">
        <f>IF('0 Úvod'!$J$16&gt;'2 ZH'!Z$3,0,IF(Z$3-'0 Úvod'!$J$16&gt;='2 ZH'!$E49,0,IF('0 Úvod'!$G$18+'0 Úvod'!$J$18&gt;'2 ZH'!Z$3,'2 ZH'!$G49,0)))</f>
        <v>0</v>
      </c>
      <c r="AA15" s="249">
        <f>IF('0 Úvod'!$J$16&gt;'2 ZH'!AA$3,0,IF(AA$3-'0 Úvod'!$J$16&gt;='2 ZH'!$E49,0,IF('0 Úvod'!$G$18+'0 Úvod'!$J$18&gt;'2 ZH'!AA$3,'2 ZH'!$G49,0)))</f>
        <v>0</v>
      </c>
      <c r="AB15" s="249">
        <f>IF('0 Úvod'!$J$16&gt;'2 ZH'!AB$3,0,IF(AB$3-'0 Úvod'!$J$16&gt;='2 ZH'!$E49,0,IF('0 Úvod'!$G$18+'0 Úvod'!$J$18&gt;'2 ZH'!AB$3,'2 ZH'!$G49,0)))</f>
        <v>0</v>
      </c>
      <c r="AC15" s="255">
        <f>IF('0 Úvod'!$J$16&gt;'2 ZH'!AC$3,0,IF(AC$3-'0 Úvod'!$J$16&gt;='2 ZH'!$E49,0,IF('0 Úvod'!$G$18+'0 Úvod'!$J$18&gt;'2 ZH'!AC$3,'2 ZH'!$G49,0)))</f>
        <v>0</v>
      </c>
    </row>
    <row r="16" spans="2:29" ht="12">
      <c r="B16" s="665"/>
      <c r="C16" s="666" t="str">
        <f>C50</f>
        <v>Ochrana životního prostředí</v>
      </c>
      <c r="D16" s="1153">
        <f t="shared" si="2"/>
        <v>0</v>
      </c>
      <c r="E16" s="261">
        <f>IF(E$3='0 Úvod'!$J$16,$G50,0)</f>
        <v>0</v>
      </c>
      <c r="F16" s="251">
        <f>IF('0 Úvod'!$J$16&gt;'2 ZH'!F$3,0,IF(F$3-'0 Úvod'!$J$16&gt;='2 ZH'!$E50,0,IF('0 Úvod'!$G$18+'0 Úvod'!$J$18&gt;'2 ZH'!F$3,'2 ZH'!$G50,0)))</f>
        <v>0</v>
      </c>
      <c r="G16" s="251">
        <f>IF('0 Úvod'!$J$16&gt;'2 ZH'!G$3,0,IF(G$3-'0 Úvod'!$J$16&gt;='2 ZH'!$E50,0,IF('0 Úvod'!$G$18+'0 Úvod'!$J$18&gt;'2 ZH'!G$3,'2 ZH'!$G50,0)))</f>
        <v>0</v>
      </c>
      <c r="H16" s="251">
        <f>IF('0 Úvod'!$J$16&gt;'2 ZH'!H$3,0,IF(H$3-'0 Úvod'!$J$16&gt;='2 ZH'!$E50,0,IF('0 Úvod'!$G$18+'0 Úvod'!$J$18&gt;'2 ZH'!H$3,'2 ZH'!$G50,0)))</f>
        <v>0</v>
      </c>
      <c r="I16" s="251">
        <f>IF('0 Úvod'!$J$16&gt;'2 ZH'!I$3,0,IF(I$3-'0 Úvod'!$J$16&gt;='2 ZH'!$E50,0,IF('0 Úvod'!$G$18+'0 Úvod'!$J$18&gt;'2 ZH'!I$3,'2 ZH'!$G50,0)))</f>
        <v>0</v>
      </c>
      <c r="J16" s="251">
        <f>IF('0 Úvod'!$J$16&gt;'2 ZH'!J$3,0,IF(J$3-'0 Úvod'!$J$16&gt;='2 ZH'!$E50,0,IF('0 Úvod'!$G$18+'0 Úvod'!$J$18&gt;'2 ZH'!J$3,'2 ZH'!$G50,0)))</f>
        <v>0</v>
      </c>
      <c r="K16" s="251">
        <f>IF('0 Úvod'!$J$16&gt;'2 ZH'!K$3,0,IF(K$3-'0 Úvod'!$J$16&gt;='2 ZH'!$E50,0,IF('0 Úvod'!$G$18+'0 Úvod'!$J$18&gt;'2 ZH'!K$3,'2 ZH'!$G50,0)))</f>
        <v>0</v>
      </c>
      <c r="L16" s="251">
        <f>IF('0 Úvod'!$J$16&gt;'2 ZH'!L$3,0,IF(L$3-'0 Úvod'!$J$16&gt;='2 ZH'!$E50,0,IF('0 Úvod'!$G$18+'0 Úvod'!$J$18&gt;'2 ZH'!L$3,'2 ZH'!$G50,0)))</f>
        <v>0</v>
      </c>
      <c r="M16" s="251">
        <f>IF('0 Úvod'!$J$16&gt;'2 ZH'!M$3,0,IF(M$3-'0 Úvod'!$J$16&gt;='2 ZH'!$E50,0,IF('0 Úvod'!$G$18+'0 Úvod'!$J$18&gt;'2 ZH'!M$3,'2 ZH'!$G50,0)))</f>
        <v>0</v>
      </c>
      <c r="N16" s="251">
        <f>IF('0 Úvod'!$J$16&gt;'2 ZH'!N$3,0,IF(N$3-'0 Úvod'!$J$16&gt;='2 ZH'!$E50,0,IF('0 Úvod'!$G$18+'0 Úvod'!$J$18&gt;'2 ZH'!N$3,'2 ZH'!$G50,0)))</f>
        <v>0</v>
      </c>
      <c r="O16" s="251">
        <f>IF('0 Úvod'!$J$16&gt;'2 ZH'!O$3,0,IF(O$3-'0 Úvod'!$J$16&gt;='2 ZH'!$E50,0,IF('0 Úvod'!$G$18+'0 Úvod'!$J$18&gt;'2 ZH'!O$3,'2 ZH'!$G50,0)))</f>
        <v>0</v>
      </c>
      <c r="P16" s="251">
        <f>IF('0 Úvod'!$J$16&gt;'2 ZH'!P$3,0,IF(P$3-'0 Úvod'!$J$16&gt;='2 ZH'!$E50,0,IF('0 Úvod'!$G$18+'0 Úvod'!$J$18&gt;'2 ZH'!P$3,'2 ZH'!$G50,0)))</f>
        <v>0</v>
      </c>
      <c r="Q16" s="251">
        <f>IF('0 Úvod'!$J$16&gt;'2 ZH'!Q$3,0,IF(Q$3-'0 Úvod'!$J$16&gt;='2 ZH'!$E50,0,IF('0 Úvod'!$G$18+'0 Úvod'!$J$18&gt;'2 ZH'!Q$3,'2 ZH'!$G50,0)))</f>
        <v>0</v>
      </c>
      <c r="R16" s="251">
        <f>IF('0 Úvod'!$J$16&gt;'2 ZH'!R$3,0,IF(R$3-'0 Úvod'!$J$16&gt;='2 ZH'!$E50,0,IF('0 Úvod'!$G$18+'0 Úvod'!$J$18&gt;'2 ZH'!R$3,'2 ZH'!$G50,0)))</f>
        <v>0</v>
      </c>
      <c r="S16" s="251">
        <f>IF('0 Úvod'!$J$16&gt;'2 ZH'!S$3,0,IF(S$3-'0 Úvod'!$J$16&gt;='2 ZH'!$E50,0,IF('0 Úvod'!$G$18+'0 Úvod'!$J$18&gt;'2 ZH'!S$3,'2 ZH'!$G50,0)))</f>
        <v>0</v>
      </c>
      <c r="T16" s="251">
        <f>IF('0 Úvod'!$J$16&gt;'2 ZH'!T$3,0,IF(T$3-'0 Úvod'!$J$16&gt;='2 ZH'!$E50,0,IF('0 Úvod'!$G$18+'0 Úvod'!$J$18&gt;'2 ZH'!T$3,'2 ZH'!$G50,0)))</f>
        <v>0</v>
      </c>
      <c r="U16" s="251">
        <f>IF('0 Úvod'!$J$16&gt;'2 ZH'!U$3,0,IF(U$3-'0 Úvod'!$J$16&gt;='2 ZH'!$E50,0,IF('0 Úvod'!$G$18+'0 Úvod'!$J$18&gt;'2 ZH'!U$3,'2 ZH'!$G50,0)))</f>
        <v>0</v>
      </c>
      <c r="V16" s="251">
        <f>IF('0 Úvod'!$J$16&gt;'2 ZH'!V$3,0,IF(V$3-'0 Úvod'!$J$16&gt;='2 ZH'!$E50,0,IF('0 Úvod'!$G$18+'0 Úvod'!$J$18&gt;'2 ZH'!V$3,'2 ZH'!$G50,0)))</f>
        <v>0</v>
      </c>
      <c r="W16" s="251">
        <f>IF('0 Úvod'!$J$16&gt;'2 ZH'!W$3,0,IF(W$3-'0 Úvod'!$J$16&gt;='2 ZH'!$E50,0,IF('0 Úvod'!$G$18+'0 Úvod'!$J$18&gt;'2 ZH'!W$3,'2 ZH'!$G50,0)))</f>
        <v>0</v>
      </c>
      <c r="X16" s="251">
        <f>IF('0 Úvod'!$J$16&gt;'2 ZH'!X$3,0,IF(X$3-'0 Úvod'!$J$16&gt;='2 ZH'!$E50,0,IF('0 Úvod'!$G$18+'0 Úvod'!$J$18&gt;'2 ZH'!X$3,'2 ZH'!$G50,0)))</f>
        <v>0</v>
      </c>
      <c r="Y16" s="251">
        <f>IF('0 Úvod'!$J$16&gt;'2 ZH'!Y$3,0,IF(Y$3-'0 Úvod'!$J$16&gt;='2 ZH'!$E50,0,IF('0 Úvod'!$G$18+'0 Úvod'!$J$18&gt;'2 ZH'!Y$3,'2 ZH'!$G50,0)))</f>
        <v>0</v>
      </c>
      <c r="Z16" s="251">
        <f>IF('0 Úvod'!$J$16&gt;'2 ZH'!Z$3,0,IF(Z$3-'0 Úvod'!$J$16&gt;='2 ZH'!$E50,0,IF('0 Úvod'!$G$18+'0 Úvod'!$J$18&gt;'2 ZH'!Z$3,'2 ZH'!$G50,0)))</f>
        <v>0</v>
      </c>
      <c r="AA16" s="251">
        <f>IF('0 Úvod'!$J$16&gt;'2 ZH'!AA$3,0,IF(AA$3-'0 Úvod'!$J$16&gt;='2 ZH'!$E50,0,IF('0 Úvod'!$G$18+'0 Úvod'!$J$18&gt;'2 ZH'!AA$3,'2 ZH'!$G50,0)))</f>
        <v>0</v>
      </c>
      <c r="AB16" s="251">
        <f>IF('0 Úvod'!$J$16&gt;'2 ZH'!AB$3,0,IF(AB$3-'0 Úvod'!$J$16&gt;='2 ZH'!$E50,0,IF('0 Úvod'!$G$18+'0 Úvod'!$J$18&gt;'2 ZH'!AB$3,'2 ZH'!$G50,0)))</f>
        <v>0</v>
      </c>
      <c r="AC16" s="256">
        <f>IF('0 Úvod'!$J$16&gt;'2 ZH'!AC$3,0,IF(AC$3-'0 Úvod'!$J$16&gt;='2 ZH'!$E50,0,IF('0 Úvod'!$G$18+'0 Úvod'!$J$18&gt;'2 ZH'!AC$3,'2 ZH'!$G50,0)))</f>
        <v>0</v>
      </c>
    </row>
    <row r="17" spans="2:29" ht="12.75" thickBot="1">
      <c r="B17" s="667"/>
      <c r="C17" s="659" t="str">
        <f>IF('0 Úvod'!$M$3="English",Slovnik!D86,Slovnik!C86)</f>
        <v>Výše ročního odpisu</v>
      </c>
      <c r="D17" s="250">
        <f>SUM(E17:AC17,E35:AC35)</f>
        <v>0</v>
      </c>
      <c r="E17" s="262">
        <f>IF(E3&lt;='0 Úvod'!$G$18+'0 Úvod'!$J$18,SUM(E6:E16),0)</f>
        <v>0</v>
      </c>
      <c r="F17" s="257">
        <f>IF(F3&lt;='0 Úvod'!$G$18+'0 Úvod'!$J$18,SUM(F6:F16),0)</f>
        <v>0</v>
      </c>
      <c r="G17" s="257">
        <f>IF(G3&lt;='0 Úvod'!$G$18+'0 Úvod'!$J$18,SUM(G6:G16),0)</f>
        <v>0</v>
      </c>
      <c r="H17" s="257">
        <f>IF(H3&lt;='0 Úvod'!$G$18+'0 Úvod'!$J$18,SUM(H6:H16),0)</f>
        <v>0</v>
      </c>
      <c r="I17" s="257">
        <f>IF(I3&lt;='0 Úvod'!$G$18+'0 Úvod'!$J$18,SUM(I6:I16),0)</f>
        <v>0</v>
      </c>
      <c r="J17" s="257">
        <f>IF(J3&lt;='0 Úvod'!$G$18+'0 Úvod'!$J$18,SUM(J6:J16),0)</f>
        <v>0</v>
      </c>
      <c r="K17" s="257">
        <f>IF(K3&lt;='0 Úvod'!$G$18+'0 Úvod'!$J$18,SUM(K6:K16),0)</f>
        <v>0</v>
      </c>
      <c r="L17" s="257">
        <f>IF(L3&lt;='0 Úvod'!$G$18+'0 Úvod'!$J$18,SUM(L6:L16),0)</f>
        <v>0</v>
      </c>
      <c r="M17" s="257">
        <f>IF(M3&lt;='0 Úvod'!$G$18+'0 Úvod'!$J$18,SUM(M6:M16),0)</f>
        <v>0</v>
      </c>
      <c r="N17" s="257">
        <f>IF(N3&lt;='0 Úvod'!$G$18+'0 Úvod'!$J$18,SUM(N6:N16),0)</f>
        <v>0</v>
      </c>
      <c r="O17" s="257">
        <f>IF(O3&lt;='0 Úvod'!$G$18+'0 Úvod'!$J$18,SUM(O6:O16),0)</f>
        <v>0</v>
      </c>
      <c r="P17" s="257">
        <f>IF(P3&lt;='0 Úvod'!$G$18+'0 Úvod'!$J$18,SUM(P6:P16),0)</f>
        <v>0</v>
      </c>
      <c r="Q17" s="257">
        <f>IF(Q3&lt;='0 Úvod'!$G$18+'0 Úvod'!$J$18,SUM(Q6:Q16),0)</f>
        <v>0</v>
      </c>
      <c r="R17" s="257">
        <f>IF(R3&lt;='0 Úvod'!$G$18+'0 Úvod'!$J$18,SUM(R6:R16),0)</f>
        <v>0</v>
      </c>
      <c r="S17" s="257">
        <f>IF(S3&lt;='0 Úvod'!$G$18+'0 Úvod'!$J$18,SUM(S6:S16),0)</f>
        <v>0</v>
      </c>
      <c r="T17" s="257">
        <f>IF(T3&lt;='0 Úvod'!$G$18+'0 Úvod'!$J$18,SUM(T6:T16),0)</f>
        <v>0</v>
      </c>
      <c r="U17" s="257">
        <f>IF(U3&lt;='0 Úvod'!$G$18+'0 Úvod'!$J$18,SUM(U6:U16),0)</f>
        <v>0</v>
      </c>
      <c r="V17" s="257">
        <f>IF(V3&lt;='0 Úvod'!$G$18+'0 Úvod'!$J$18,SUM(V6:V16),0)</f>
        <v>0</v>
      </c>
      <c r="W17" s="257">
        <f>IF(W3&lt;='0 Úvod'!$G$18+'0 Úvod'!$J$18,SUM(W6:W16),0)</f>
        <v>0</v>
      </c>
      <c r="X17" s="257">
        <f>IF(X3&lt;='0 Úvod'!$G$18+'0 Úvod'!$J$18,SUM(X6:X16),0)</f>
        <v>0</v>
      </c>
      <c r="Y17" s="257">
        <f>IF(Y3&lt;='0 Úvod'!$G$18+'0 Úvod'!$J$18,SUM(Y6:Y16),0)</f>
        <v>0</v>
      </c>
      <c r="Z17" s="257">
        <f>IF(Z3&lt;='0 Úvod'!$G$18+'0 Úvod'!$J$18,SUM(Z6:Z16),0)</f>
        <v>0</v>
      </c>
      <c r="AA17" s="257">
        <f>IF(AA3&lt;='0 Úvod'!$G$18+'0 Úvod'!$J$18,SUM(AA6:AA16),0)</f>
        <v>0</v>
      </c>
      <c r="AB17" s="257">
        <f>IF(AB3&lt;='0 Úvod'!$G$18+'0 Úvod'!$J$18,SUM(AB6:AB16),0)</f>
        <v>0</v>
      </c>
      <c r="AC17" s="258">
        <f>IF(AC3&lt;='0 Úvod'!$G$18+'0 Úvod'!$J$18,SUM(AC6:AC16),0)</f>
        <v>0</v>
      </c>
    </row>
    <row r="18" spans="2:29" ht="12.75" thickBot="1">
      <c r="B18" s="667"/>
      <c r="C18" s="659" t="str">
        <f>IF('0 Úvod'!$M$3="English",Slovnik!D87,Slovnik!C87)</f>
        <v>Zbytková hodnota investice</v>
      </c>
      <c r="D18" s="250">
        <f>(D5-D51-D17)</f>
        <v>0</v>
      </c>
      <c r="E18" s="211">
        <f>IF(E3='0 Úvod'!$G$18+'0 Úvod'!$J$18-1,'2 ZH'!$D$18,0)</f>
        <v>0</v>
      </c>
      <c r="F18" s="211">
        <f>IF(F3='0 Úvod'!$G$18+'0 Úvod'!$J$18-1,'2 ZH'!$D$18,0)</f>
        <v>0</v>
      </c>
      <c r="G18" s="211">
        <f>IF(G3='0 Úvod'!$G$18+'0 Úvod'!$J$18-1,'2 ZH'!$D$18,0)</f>
        <v>0</v>
      </c>
      <c r="H18" s="211">
        <f>IF(H3='0 Úvod'!$G$18+'0 Úvod'!$J$18-1,'2 ZH'!$D$18,0)</f>
        <v>0</v>
      </c>
      <c r="I18" s="211">
        <f>IF(I3='0 Úvod'!$G$18+'0 Úvod'!$J$18-1,'2 ZH'!$D$18,0)</f>
        <v>0</v>
      </c>
      <c r="J18" s="211">
        <f>IF(J3='0 Úvod'!$G$18+'0 Úvod'!$J$18-1,'2 ZH'!$D$18,0)</f>
        <v>0</v>
      </c>
      <c r="K18" s="211">
        <f>IF(K3='0 Úvod'!$G$18+'0 Úvod'!$J$18-1,'2 ZH'!$D$18,0)</f>
        <v>0</v>
      </c>
      <c r="L18" s="211">
        <f>IF(L3='0 Úvod'!$G$18+'0 Úvod'!$J$18-1,'2 ZH'!$D$18,0)</f>
        <v>0</v>
      </c>
      <c r="M18" s="211">
        <f>IF(M3='0 Úvod'!$G$18+'0 Úvod'!$J$18-1,'2 ZH'!$D$18,0)</f>
        <v>0</v>
      </c>
      <c r="N18" s="211">
        <f>IF(N3='0 Úvod'!$G$18+'0 Úvod'!$J$18-1,'2 ZH'!$D$18,0)</f>
        <v>0</v>
      </c>
      <c r="O18" s="211">
        <f>IF(O3='0 Úvod'!$G$18+'0 Úvod'!$J$18-1,'2 ZH'!$D$18,0)</f>
        <v>0</v>
      </c>
      <c r="P18" s="211">
        <f>IF(P3='0 Úvod'!$G$18+'0 Úvod'!$J$18-1,'2 ZH'!$D$18,0)</f>
        <v>0</v>
      </c>
      <c r="Q18" s="211">
        <f>IF(Q3='0 Úvod'!$G$18+'0 Úvod'!$J$18-1,'2 ZH'!$D$18,0)</f>
        <v>0</v>
      </c>
      <c r="R18" s="211">
        <f>IF(R3='0 Úvod'!$G$18+'0 Úvod'!$J$18-1,'2 ZH'!$D$18,0)</f>
        <v>0</v>
      </c>
      <c r="S18" s="211">
        <f>IF(S3='0 Úvod'!$G$18+'0 Úvod'!$J$18-1,'2 ZH'!$D$18,0)</f>
        <v>0</v>
      </c>
      <c r="T18" s="211">
        <f>IF(T3='0 Úvod'!$G$18+'0 Úvod'!$J$18-1,'2 ZH'!$D$18,0)</f>
        <v>0</v>
      </c>
      <c r="U18" s="211">
        <f>IF(U3='0 Úvod'!$G$18+'0 Úvod'!$J$18-1,'2 ZH'!$D$18,0)</f>
        <v>0</v>
      </c>
      <c r="V18" s="211">
        <f>IF(V3='0 Úvod'!$G$18+'0 Úvod'!$J$18-1,'2 ZH'!$D$18,0)</f>
        <v>0</v>
      </c>
      <c r="W18" s="211">
        <f>IF(W3='0 Úvod'!$G$18+'0 Úvod'!$J$18-1,'2 ZH'!$D$18,0)</f>
        <v>0</v>
      </c>
      <c r="X18" s="211">
        <f>IF(X3='0 Úvod'!$G$18+'0 Úvod'!$J$18-1,'2 ZH'!$D$18,0)</f>
        <v>0</v>
      </c>
      <c r="Y18" s="211">
        <f>IF(Y3='0 Úvod'!$G$18+'0 Úvod'!$J$18-1,'2 ZH'!$D$18,0)</f>
        <v>0</v>
      </c>
      <c r="Z18" s="211">
        <f>IF(Z3='0 Úvod'!$G$18+'0 Úvod'!$J$18-1,'2 ZH'!$D$18,0)</f>
        <v>0</v>
      </c>
      <c r="AA18" s="211">
        <f>IF(AA3='0 Úvod'!$G$18+'0 Úvod'!$J$18-1,'2 ZH'!$D$18,0)</f>
        <v>0</v>
      </c>
      <c r="AB18" s="211">
        <f>IF(AB3='0 Úvod'!$G$18+'0 Úvod'!$J$18-1,'2 ZH'!$D$18,0)</f>
        <v>0</v>
      </c>
      <c r="AC18" s="212">
        <f>IF(AC3='0 Úvod'!$G$18+'0 Úvod'!$J$18-1,'2 ZH'!$D$18,0)</f>
        <v>0</v>
      </c>
    </row>
    <row r="19" spans="2:29" ht="12" thickBot="1">
      <c r="B19" s="135"/>
      <c r="C19" s="134"/>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row>
    <row r="20" spans="2:29" ht="12.75">
      <c r="B20" s="330" t="s">
        <v>26</v>
      </c>
      <c r="C20" s="331" t="str">
        <f>C2</f>
        <v>Kalkulace zůstatkové hodnoty</v>
      </c>
      <c r="D20" s="332" t="s">
        <v>134</v>
      </c>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4"/>
    </row>
    <row r="21" spans="2:29" ht="13.5" thickBot="1">
      <c r="B21" s="335" t="s">
        <v>19</v>
      </c>
      <c r="C21" s="336"/>
      <c r="D21" s="1280"/>
      <c r="E21" s="337">
        <f>AC3+1</f>
        <v>2039</v>
      </c>
      <c r="F21" s="337">
        <f>E21+1</f>
        <v>2040</v>
      </c>
      <c r="G21" s="337">
        <f aca="true" t="shared" si="4" ref="G21:R21">F21+1</f>
        <v>2041</v>
      </c>
      <c r="H21" s="337">
        <f t="shared" si="4"/>
        <v>2042</v>
      </c>
      <c r="I21" s="337">
        <f t="shared" si="4"/>
        <v>2043</v>
      </c>
      <c r="J21" s="337">
        <f t="shared" si="4"/>
        <v>2044</v>
      </c>
      <c r="K21" s="337">
        <f t="shared" si="4"/>
        <v>2045</v>
      </c>
      <c r="L21" s="337">
        <f t="shared" si="4"/>
        <v>2046</v>
      </c>
      <c r="M21" s="337">
        <f t="shared" si="4"/>
        <v>2047</v>
      </c>
      <c r="N21" s="337">
        <f t="shared" si="4"/>
        <v>2048</v>
      </c>
      <c r="O21" s="337">
        <f t="shared" si="4"/>
        <v>2049</v>
      </c>
      <c r="P21" s="337">
        <f t="shared" si="4"/>
        <v>2050</v>
      </c>
      <c r="Q21" s="337">
        <f t="shared" si="4"/>
        <v>2051</v>
      </c>
      <c r="R21" s="337">
        <f t="shared" si="4"/>
        <v>2052</v>
      </c>
      <c r="S21" s="337">
        <f aca="true" t="shared" si="5" ref="S21:AC21">R21+1</f>
        <v>2053</v>
      </c>
      <c r="T21" s="337">
        <f t="shared" si="5"/>
        <v>2054</v>
      </c>
      <c r="U21" s="337">
        <f t="shared" si="5"/>
        <v>2055</v>
      </c>
      <c r="V21" s="337">
        <f t="shared" si="5"/>
        <v>2056</v>
      </c>
      <c r="W21" s="337">
        <f t="shared" si="5"/>
        <v>2057</v>
      </c>
      <c r="X21" s="337">
        <f t="shared" si="5"/>
        <v>2058</v>
      </c>
      <c r="Y21" s="337">
        <f t="shared" si="5"/>
        <v>2059</v>
      </c>
      <c r="Z21" s="337">
        <f t="shared" si="5"/>
        <v>2060</v>
      </c>
      <c r="AA21" s="337">
        <f t="shared" si="5"/>
        <v>2061</v>
      </c>
      <c r="AB21" s="337">
        <f t="shared" si="5"/>
        <v>2062</v>
      </c>
      <c r="AC21" s="338">
        <f t="shared" si="5"/>
        <v>2063</v>
      </c>
    </row>
    <row r="22" spans="2:29" ht="12.75" thickBot="1">
      <c r="B22" s="339"/>
      <c r="C22" s="340"/>
      <c r="D22" s="128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2"/>
    </row>
    <row r="23" spans="2:29" ht="12">
      <c r="B23" s="660"/>
      <c r="C23" s="668" t="str">
        <f>C5</f>
        <v>Investiční náklady bez rezervy</v>
      </c>
      <c r="D23" s="669"/>
      <c r="E23" s="215">
        <f>'1 CIN'!G24</f>
        <v>0</v>
      </c>
      <c r="F23" s="216">
        <f>'1 CIN'!H24</f>
        <v>0</v>
      </c>
      <c r="G23" s="216">
        <f>'1 CIN'!I24</f>
        <v>0</v>
      </c>
      <c r="H23" s="216">
        <f>'1 CIN'!J24</f>
        <v>0</v>
      </c>
      <c r="I23" s="216">
        <f>'1 CIN'!K24</f>
        <v>0</v>
      </c>
      <c r="J23" s="216">
        <f>'1 CIN'!L24</f>
        <v>0</v>
      </c>
      <c r="K23" s="216">
        <f>'1 CIN'!M24</f>
        <v>0</v>
      </c>
      <c r="L23" s="216">
        <f>'1 CIN'!N24</f>
        <v>0</v>
      </c>
      <c r="M23" s="216">
        <f>'1 CIN'!O24</f>
        <v>0</v>
      </c>
      <c r="N23" s="216">
        <f>'1 CIN'!P24</f>
        <v>0</v>
      </c>
      <c r="O23" s="216">
        <f>'1 CIN'!Q24</f>
        <v>0</v>
      </c>
      <c r="P23" s="216">
        <f>'1 CIN'!R24</f>
        <v>0</v>
      </c>
      <c r="Q23" s="216">
        <f>'1 CIN'!S24</f>
        <v>0</v>
      </c>
      <c r="R23" s="216">
        <f>'1 CIN'!T24</f>
        <v>0</v>
      </c>
      <c r="S23" s="216">
        <f>'1 CIN'!U24</f>
        <v>0</v>
      </c>
      <c r="T23" s="216">
        <f>'1 CIN'!V24</f>
        <v>0</v>
      </c>
      <c r="U23" s="216">
        <f>'1 CIN'!W24</f>
        <v>0</v>
      </c>
      <c r="V23" s="216">
        <f>'1 CIN'!X24</f>
        <v>0</v>
      </c>
      <c r="W23" s="216">
        <f>'1 CIN'!Y24</f>
        <v>0</v>
      </c>
      <c r="X23" s="216">
        <f>'1 CIN'!Z24</f>
        <v>0</v>
      </c>
      <c r="Y23" s="216">
        <f>'1 CIN'!AA24</f>
        <v>0</v>
      </c>
      <c r="Z23" s="216">
        <f>'1 CIN'!AB24</f>
        <v>0</v>
      </c>
      <c r="AA23" s="216">
        <f>'1 CIN'!AC24</f>
        <v>0</v>
      </c>
      <c r="AB23" s="216">
        <f>'1 CIN'!AD24</f>
        <v>0</v>
      </c>
      <c r="AC23" s="217">
        <f>'1 CIN'!AE24</f>
        <v>0</v>
      </c>
    </row>
    <row r="24" spans="2:29" ht="12">
      <c r="B24" s="662"/>
      <c r="C24" s="670" t="str">
        <f>C6</f>
        <v>Přístavní zdi</v>
      </c>
      <c r="D24" s="671"/>
      <c r="E24" s="247">
        <f>IF('0 Úvod'!$J$16&gt;'2 ZH'!E$21,0,IF(E$21-'0 Úvod'!$J$16&gt;='2 ZH'!$E40,0,IF('0 Úvod'!$G$18+'0 Úvod'!$J$18&gt;'2 ZH'!E$21,'2 ZH'!$G40,0)))</f>
        <v>0</v>
      </c>
      <c r="F24" s="248">
        <f>IF('0 Úvod'!$J$16&gt;'2 ZH'!F$21,0,IF(F$21-'0 Úvod'!$J$16&gt;='2 ZH'!$E40,0,IF('0 Úvod'!$G$18+'0 Úvod'!$J$18&gt;'2 ZH'!F$21,'2 ZH'!$G40,0)))</f>
        <v>0</v>
      </c>
      <c r="G24" s="248">
        <f>IF('0 Úvod'!$J$16&gt;'2 ZH'!G$21,0,IF(G$21-'0 Úvod'!$J$16&gt;='2 ZH'!$E40,0,IF('0 Úvod'!$G$18+'0 Úvod'!$J$18&gt;'2 ZH'!G$21,'2 ZH'!$G40,0)))</f>
        <v>0</v>
      </c>
      <c r="H24" s="248">
        <f>IF('0 Úvod'!$J$16&gt;'2 ZH'!H$21,0,IF(H$21-'0 Úvod'!$J$16&gt;='2 ZH'!$E40,0,IF('0 Úvod'!$G$18+'0 Úvod'!$J$18&gt;'2 ZH'!H$21,'2 ZH'!$G40,0)))</f>
        <v>0</v>
      </c>
      <c r="I24" s="248">
        <f>IF('0 Úvod'!$J$16&gt;'2 ZH'!I$21,0,IF(I$21-'0 Úvod'!$J$16&gt;='2 ZH'!$E40,0,IF('0 Úvod'!$G$18+'0 Úvod'!$J$18&gt;'2 ZH'!I$21,'2 ZH'!$G40,0)))</f>
        <v>0</v>
      </c>
      <c r="J24" s="248">
        <f>IF('0 Úvod'!$J$16&gt;'2 ZH'!J$21,0,IF(J$21-'0 Úvod'!$J$16&gt;='2 ZH'!$E40,0,IF('0 Úvod'!$G$18+'0 Úvod'!$J$18&gt;'2 ZH'!J$21,'2 ZH'!$G40,0)))</f>
        <v>0</v>
      </c>
      <c r="K24" s="248">
        <f>IF('0 Úvod'!$J$16&gt;'2 ZH'!K$21,0,IF(K$21-'0 Úvod'!$J$16&gt;='2 ZH'!$E40,0,IF('0 Úvod'!$G$18+'0 Úvod'!$J$18&gt;'2 ZH'!K$21,'2 ZH'!$G40,0)))</f>
        <v>0</v>
      </c>
      <c r="L24" s="248">
        <f>IF('0 Úvod'!$J$16&gt;'2 ZH'!L$21,0,IF(L$21-'0 Úvod'!$J$16&gt;='2 ZH'!$E40,0,IF('0 Úvod'!$G$18+'0 Úvod'!$J$18&gt;'2 ZH'!L$21,'2 ZH'!$G40,0)))</f>
        <v>0</v>
      </c>
      <c r="M24" s="248">
        <f>IF('0 Úvod'!$J$16&gt;'2 ZH'!M$21,0,IF(M$21-'0 Úvod'!$J$16&gt;='2 ZH'!$E40,0,IF('0 Úvod'!$G$18+'0 Úvod'!$J$18&gt;'2 ZH'!M$21,'2 ZH'!$G40,0)))</f>
        <v>0</v>
      </c>
      <c r="N24" s="248">
        <f>IF('0 Úvod'!$J$16&gt;'2 ZH'!N$21,0,IF(N$21-'0 Úvod'!$J$16&gt;='2 ZH'!$E40,0,IF('0 Úvod'!$G$18+'0 Úvod'!$J$18&gt;'2 ZH'!N$21,'2 ZH'!$G40,0)))</f>
        <v>0</v>
      </c>
      <c r="O24" s="248">
        <f>IF('0 Úvod'!$J$16&gt;'2 ZH'!O$21,0,IF(O$21-'0 Úvod'!$J$16&gt;='2 ZH'!$E40,0,IF('0 Úvod'!$G$18+'0 Úvod'!$J$18&gt;'2 ZH'!O$21,'2 ZH'!$G40,0)))</f>
        <v>0</v>
      </c>
      <c r="P24" s="248">
        <f>IF('0 Úvod'!$J$16&gt;'2 ZH'!P$21,0,IF(P$21-'0 Úvod'!$J$16&gt;='2 ZH'!$E40,0,IF('0 Úvod'!$G$18+'0 Úvod'!$J$18&gt;'2 ZH'!P$21,'2 ZH'!$G40,0)))</f>
        <v>0</v>
      </c>
      <c r="Q24" s="248">
        <f>IF('0 Úvod'!$J$16&gt;'2 ZH'!Q$21,0,IF(Q$21-'0 Úvod'!$J$16&gt;='2 ZH'!$E40,0,IF('0 Úvod'!$G$18+'0 Úvod'!$J$18&gt;'2 ZH'!Q$21,'2 ZH'!$G40,0)))</f>
        <v>0</v>
      </c>
      <c r="R24" s="248">
        <f>IF('0 Úvod'!$J$16&gt;'2 ZH'!R$21,0,IF(R$21-'0 Úvod'!$J$16&gt;='2 ZH'!$E40,0,IF('0 Úvod'!$G$18+'0 Úvod'!$J$18&gt;'2 ZH'!R$21,'2 ZH'!$G40,0)))</f>
        <v>0</v>
      </c>
      <c r="S24" s="248">
        <f>IF('0 Úvod'!$J$16&gt;'2 ZH'!S$21,0,IF(S$21-'0 Úvod'!$J$16&gt;='2 ZH'!$E40,0,IF('0 Úvod'!$G$18+'0 Úvod'!$J$18&gt;'2 ZH'!S$21,'2 ZH'!$G40,0)))</f>
        <v>0</v>
      </c>
      <c r="T24" s="248">
        <f>IF('0 Úvod'!$J$16&gt;'2 ZH'!T$21,0,IF(T$21-'0 Úvod'!$J$16&gt;='2 ZH'!$E40,0,IF('0 Úvod'!$G$18+'0 Úvod'!$J$18&gt;'2 ZH'!T$21,'2 ZH'!$G40,0)))</f>
        <v>0</v>
      </c>
      <c r="U24" s="248">
        <f>IF('0 Úvod'!$J$16&gt;'2 ZH'!U$21,0,IF(U$21-'0 Úvod'!$J$16&gt;='2 ZH'!$E40,0,IF('0 Úvod'!$G$18+'0 Úvod'!$J$18&gt;'2 ZH'!U$21,'2 ZH'!$G40,0)))</f>
        <v>0</v>
      </c>
      <c r="V24" s="248">
        <f>IF('0 Úvod'!$J$16&gt;'2 ZH'!V$21,0,IF(V$21-'0 Úvod'!$J$16&gt;='2 ZH'!$E40,0,IF('0 Úvod'!$G$18+'0 Úvod'!$J$18&gt;'2 ZH'!V$21,'2 ZH'!$G40,0)))</f>
        <v>0</v>
      </c>
      <c r="W24" s="248">
        <f>IF('0 Úvod'!$J$16&gt;'2 ZH'!W$21,0,IF(W$21-'0 Úvod'!$J$16&gt;='2 ZH'!$E40,0,IF('0 Úvod'!$G$18+'0 Úvod'!$J$18&gt;'2 ZH'!W$21,'2 ZH'!$G40,0)))</f>
        <v>0</v>
      </c>
      <c r="X24" s="248">
        <f>IF('0 Úvod'!$J$16&gt;'2 ZH'!X$21,0,IF(X$21-'0 Úvod'!$J$16&gt;='2 ZH'!$E40,0,IF('0 Úvod'!$G$18+'0 Úvod'!$J$18&gt;'2 ZH'!X$21,'2 ZH'!$G40,0)))</f>
        <v>0</v>
      </c>
      <c r="Y24" s="248">
        <f>IF('0 Úvod'!$J$16&gt;'2 ZH'!Y$21,0,IF(Y$21-'0 Úvod'!$J$16&gt;='2 ZH'!$E40,0,IF('0 Úvod'!$G$18+'0 Úvod'!$J$18&gt;'2 ZH'!Y$21,'2 ZH'!$G40,0)))</f>
        <v>0</v>
      </c>
      <c r="Z24" s="248">
        <f>IF('0 Úvod'!$J$16&gt;'2 ZH'!Z$21,0,IF(Z$21-'0 Úvod'!$J$16&gt;='2 ZH'!$E40,0,IF('0 Úvod'!$G$18+'0 Úvod'!$J$18&gt;'2 ZH'!Z$21,'2 ZH'!$G40,0)))</f>
        <v>0</v>
      </c>
      <c r="AA24" s="248">
        <f>IF('0 Úvod'!$J$16&gt;'2 ZH'!AA$21,0,IF(AA$21-'0 Úvod'!$J$16&gt;='2 ZH'!$E40,0,IF('0 Úvod'!$G$18+'0 Úvod'!$J$18&gt;'2 ZH'!AA$21,'2 ZH'!$G40,0)))</f>
        <v>0</v>
      </c>
      <c r="AB24" s="248">
        <f>IF('0 Úvod'!$J$16&gt;'2 ZH'!AB$21,0,IF(AB$21-'0 Úvod'!$J$16&gt;='2 ZH'!$E40,0,IF('0 Úvod'!$G$18+'0 Úvod'!$J$18&gt;'2 ZH'!AB$21,'2 ZH'!$G40,0)))</f>
        <v>0</v>
      </c>
      <c r="AC24" s="263">
        <f>IF('0 Úvod'!$J$16&gt;'2 ZH'!AC$21,0,IF(AC$21-'0 Úvod'!$J$16&gt;='2 ZH'!$E40,0,IF('0 Úvod'!$G$18+'0 Úvod'!$J$18&gt;'2 ZH'!AC$21,'2 ZH'!$G40,0)))</f>
        <v>0</v>
      </c>
    </row>
    <row r="25" spans="2:29" ht="12">
      <c r="B25" s="664"/>
      <c r="C25" s="642" t="str">
        <f>C7</f>
        <v>Hrubé hydrotechnické konstrukce *</v>
      </c>
      <c r="D25" s="672"/>
      <c r="E25" s="260">
        <f>IF('0 Úvod'!$J$16&gt;'2 ZH'!E$21,0,IF(E$21-'0 Úvod'!$J$16&gt;='2 ZH'!$E41,0,IF('0 Úvod'!$G$18+'0 Úvod'!$J$18&gt;'2 ZH'!E$21,'2 ZH'!$G41,0)))</f>
        <v>0</v>
      </c>
      <c r="F25" s="249">
        <f>IF('0 Úvod'!$J$16&gt;'2 ZH'!F$21,0,IF(F$21-'0 Úvod'!$J$16&gt;='2 ZH'!$E41,0,IF('0 Úvod'!$G$18+'0 Úvod'!$J$18&gt;'2 ZH'!F$21,'2 ZH'!$G41,0)))</f>
        <v>0</v>
      </c>
      <c r="G25" s="249">
        <f>IF('0 Úvod'!$J$16&gt;'2 ZH'!G$21,0,IF(G$21-'0 Úvod'!$J$16&gt;='2 ZH'!$E41,0,IF('0 Úvod'!$G$18+'0 Úvod'!$J$18&gt;'2 ZH'!G$21,'2 ZH'!$G41,0)))</f>
        <v>0</v>
      </c>
      <c r="H25" s="249">
        <f>IF('0 Úvod'!$J$16&gt;'2 ZH'!H$21,0,IF(H$21-'0 Úvod'!$J$16&gt;='2 ZH'!$E41,0,IF('0 Úvod'!$G$18+'0 Úvod'!$J$18&gt;'2 ZH'!H$21,'2 ZH'!$G41,0)))</f>
        <v>0</v>
      </c>
      <c r="I25" s="249">
        <f>IF('0 Úvod'!$J$16&gt;'2 ZH'!I$21,0,IF(I$21-'0 Úvod'!$J$16&gt;='2 ZH'!$E41,0,IF('0 Úvod'!$G$18+'0 Úvod'!$J$18&gt;'2 ZH'!I$21,'2 ZH'!$G41,0)))</f>
        <v>0</v>
      </c>
      <c r="J25" s="249">
        <f>IF('0 Úvod'!$J$16&gt;'2 ZH'!J$21,0,IF(J$21-'0 Úvod'!$J$16&gt;='2 ZH'!$E41,0,IF('0 Úvod'!$G$18+'0 Úvod'!$J$18&gt;'2 ZH'!J$21,'2 ZH'!$G41,0)))</f>
        <v>0</v>
      </c>
      <c r="K25" s="249">
        <f>IF('0 Úvod'!$J$16&gt;'2 ZH'!K$21,0,IF(K$21-'0 Úvod'!$J$16&gt;='2 ZH'!$E41,0,IF('0 Úvod'!$G$18+'0 Úvod'!$J$18&gt;'2 ZH'!K$21,'2 ZH'!$G41,0)))</f>
        <v>0</v>
      </c>
      <c r="L25" s="249">
        <f>IF('0 Úvod'!$J$16&gt;'2 ZH'!L$21,0,IF(L$21-'0 Úvod'!$J$16&gt;='2 ZH'!$E41,0,IF('0 Úvod'!$G$18+'0 Úvod'!$J$18&gt;'2 ZH'!L$21,'2 ZH'!$G41,0)))</f>
        <v>0</v>
      </c>
      <c r="M25" s="249">
        <f>IF('0 Úvod'!$J$16&gt;'2 ZH'!M$21,0,IF(M$21-'0 Úvod'!$J$16&gt;='2 ZH'!$E41,0,IF('0 Úvod'!$G$18+'0 Úvod'!$J$18&gt;'2 ZH'!M$21,'2 ZH'!$G41,0)))</f>
        <v>0</v>
      </c>
      <c r="N25" s="249">
        <f>IF('0 Úvod'!$J$16&gt;'2 ZH'!N$21,0,IF(N$21-'0 Úvod'!$J$16&gt;='2 ZH'!$E41,0,IF('0 Úvod'!$G$18+'0 Úvod'!$J$18&gt;'2 ZH'!N$21,'2 ZH'!$G41,0)))</f>
        <v>0</v>
      </c>
      <c r="O25" s="249">
        <f>IF('0 Úvod'!$J$16&gt;'2 ZH'!O$21,0,IF(O$21-'0 Úvod'!$J$16&gt;='2 ZH'!$E41,0,IF('0 Úvod'!$G$18+'0 Úvod'!$J$18&gt;'2 ZH'!O$21,'2 ZH'!$G41,0)))</f>
        <v>0</v>
      </c>
      <c r="P25" s="249">
        <f>IF('0 Úvod'!$J$16&gt;'2 ZH'!P$21,0,IF(P$21-'0 Úvod'!$J$16&gt;='2 ZH'!$E41,0,IF('0 Úvod'!$G$18+'0 Úvod'!$J$18&gt;'2 ZH'!P$21,'2 ZH'!$G41,0)))</f>
        <v>0</v>
      </c>
      <c r="Q25" s="249">
        <f>IF('0 Úvod'!$J$16&gt;'2 ZH'!Q$21,0,IF(Q$21-'0 Úvod'!$J$16&gt;='2 ZH'!$E41,0,IF('0 Úvod'!$G$18+'0 Úvod'!$J$18&gt;'2 ZH'!Q$21,'2 ZH'!$G41,0)))</f>
        <v>0</v>
      </c>
      <c r="R25" s="249">
        <f>IF('0 Úvod'!$J$16&gt;'2 ZH'!R$21,0,IF(R$21-'0 Úvod'!$J$16&gt;='2 ZH'!$E41,0,IF('0 Úvod'!$G$18+'0 Úvod'!$J$18&gt;'2 ZH'!R$21,'2 ZH'!$G41,0)))</f>
        <v>0</v>
      </c>
      <c r="S25" s="249">
        <f>IF('0 Úvod'!$J$16&gt;'2 ZH'!S$21,0,IF(S$21-'0 Úvod'!$J$16&gt;='2 ZH'!$E41,0,IF('0 Úvod'!$G$18+'0 Úvod'!$J$18&gt;'2 ZH'!S$21,'2 ZH'!$G41,0)))</f>
        <v>0</v>
      </c>
      <c r="T25" s="249">
        <f>IF('0 Úvod'!$J$16&gt;'2 ZH'!T$21,0,IF(T$21-'0 Úvod'!$J$16&gt;='2 ZH'!$E41,0,IF('0 Úvod'!$G$18+'0 Úvod'!$J$18&gt;'2 ZH'!T$21,'2 ZH'!$G41,0)))</f>
        <v>0</v>
      </c>
      <c r="U25" s="249">
        <f>IF('0 Úvod'!$J$16&gt;'2 ZH'!U$21,0,IF(U$21-'0 Úvod'!$J$16&gt;='2 ZH'!$E41,0,IF('0 Úvod'!$G$18+'0 Úvod'!$J$18&gt;'2 ZH'!U$21,'2 ZH'!$G41,0)))</f>
        <v>0</v>
      </c>
      <c r="V25" s="249">
        <f>IF('0 Úvod'!$J$16&gt;'2 ZH'!V$21,0,IF(V$21-'0 Úvod'!$J$16&gt;='2 ZH'!$E41,0,IF('0 Úvod'!$G$18+'0 Úvod'!$J$18&gt;'2 ZH'!V$21,'2 ZH'!$G41,0)))</f>
        <v>0</v>
      </c>
      <c r="W25" s="249">
        <f>IF('0 Úvod'!$J$16&gt;'2 ZH'!W$21,0,IF(W$21-'0 Úvod'!$J$16&gt;='2 ZH'!$E41,0,IF('0 Úvod'!$G$18+'0 Úvod'!$J$18&gt;'2 ZH'!W$21,'2 ZH'!$G41,0)))</f>
        <v>0</v>
      </c>
      <c r="X25" s="249">
        <f>IF('0 Úvod'!$J$16&gt;'2 ZH'!X$21,0,IF(X$21-'0 Úvod'!$J$16&gt;='2 ZH'!$E41,0,IF('0 Úvod'!$G$18+'0 Úvod'!$J$18&gt;'2 ZH'!X$21,'2 ZH'!$G41,0)))</f>
        <v>0</v>
      </c>
      <c r="Y25" s="249">
        <f>IF('0 Úvod'!$J$16&gt;'2 ZH'!Y$21,0,IF(Y$21-'0 Úvod'!$J$16&gt;='2 ZH'!$E41,0,IF('0 Úvod'!$G$18+'0 Úvod'!$J$18&gt;'2 ZH'!Y$21,'2 ZH'!$G41,0)))</f>
        <v>0</v>
      </c>
      <c r="Z25" s="249">
        <f>IF('0 Úvod'!$J$16&gt;'2 ZH'!Z$21,0,IF(Z$21-'0 Úvod'!$J$16&gt;='2 ZH'!$E41,0,IF('0 Úvod'!$G$18+'0 Úvod'!$J$18&gt;'2 ZH'!Z$21,'2 ZH'!$G41,0)))</f>
        <v>0</v>
      </c>
      <c r="AA25" s="249">
        <f>IF('0 Úvod'!$J$16&gt;'2 ZH'!AA$21,0,IF(AA$21-'0 Úvod'!$J$16&gt;='2 ZH'!$E41,0,IF('0 Úvod'!$G$18+'0 Úvod'!$J$18&gt;'2 ZH'!AA$21,'2 ZH'!$G41,0)))</f>
        <v>0</v>
      </c>
      <c r="AB25" s="249">
        <f>IF('0 Úvod'!$J$16&gt;'2 ZH'!AB$21,0,IF(AB$21-'0 Úvod'!$J$16&gt;='2 ZH'!$E41,0,IF('0 Úvod'!$G$18+'0 Úvod'!$J$18&gt;'2 ZH'!AB$21,'2 ZH'!$G41,0)))</f>
        <v>0</v>
      </c>
      <c r="AC25" s="255">
        <f>IF('0 Úvod'!$J$16&gt;'2 ZH'!AC$21,0,IF(AC$21-'0 Úvod'!$J$16&gt;='2 ZH'!$E41,0,IF('0 Úvod'!$G$18+'0 Úvod'!$J$18&gt;'2 ZH'!AC$21,'2 ZH'!$G41,0)))</f>
        <v>0</v>
      </c>
    </row>
    <row r="26" spans="2:29" ht="12">
      <c r="B26" s="664"/>
      <c r="C26" s="642" t="str">
        <f aca="true" t="shared" si="6" ref="C26:C33">C8</f>
        <v>Ocelové konstrukce **</v>
      </c>
      <c r="D26" s="672"/>
      <c r="E26" s="260">
        <f>IF('0 Úvod'!$J$16&gt;'2 ZH'!E$21,0,IF(E$21-'0 Úvod'!$J$16&gt;='2 ZH'!$E42,0,IF('0 Úvod'!$G$18+'0 Úvod'!$J$18&gt;'2 ZH'!E$21,'2 ZH'!$G42,0)))</f>
        <v>0</v>
      </c>
      <c r="F26" s="249">
        <f>IF('0 Úvod'!$J$16&gt;'2 ZH'!F$21,0,IF(F$21-'0 Úvod'!$J$16&gt;='2 ZH'!$E42,0,IF('0 Úvod'!$G$18+'0 Úvod'!$J$18&gt;'2 ZH'!F$21,'2 ZH'!$G42,0)))</f>
        <v>0</v>
      </c>
      <c r="G26" s="249">
        <f>IF('0 Úvod'!$J$16&gt;'2 ZH'!G$21,0,IF(G$21-'0 Úvod'!$J$16&gt;='2 ZH'!$E42,0,IF('0 Úvod'!$G$18+'0 Úvod'!$J$18&gt;'2 ZH'!G$21,'2 ZH'!$G42,0)))</f>
        <v>0</v>
      </c>
      <c r="H26" s="249">
        <f>IF('0 Úvod'!$J$16&gt;'2 ZH'!H$21,0,IF(H$21-'0 Úvod'!$J$16&gt;='2 ZH'!$E42,0,IF('0 Úvod'!$G$18+'0 Úvod'!$J$18&gt;'2 ZH'!H$21,'2 ZH'!$G42,0)))</f>
        <v>0</v>
      </c>
      <c r="I26" s="249">
        <f>IF('0 Úvod'!$J$16&gt;'2 ZH'!I$21,0,IF(I$21-'0 Úvod'!$J$16&gt;='2 ZH'!$E42,0,IF('0 Úvod'!$G$18+'0 Úvod'!$J$18&gt;'2 ZH'!I$21,'2 ZH'!$G42,0)))</f>
        <v>0</v>
      </c>
      <c r="J26" s="249">
        <f>IF('0 Úvod'!$J$16&gt;'2 ZH'!J$21,0,IF(J$21-'0 Úvod'!$J$16&gt;='2 ZH'!$E42,0,IF('0 Úvod'!$G$18+'0 Úvod'!$J$18&gt;'2 ZH'!J$21,'2 ZH'!$G42,0)))</f>
        <v>0</v>
      </c>
      <c r="K26" s="249">
        <f>IF('0 Úvod'!$J$16&gt;'2 ZH'!K$21,0,IF(K$21-'0 Úvod'!$J$16&gt;='2 ZH'!$E42,0,IF('0 Úvod'!$G$18+'0 Úvod'!$J$18&gt;'2 ZH'!K$21,'2 ZH'!$G42,0)))</f>
        <v>0</v>
      </c>
      <c r="L26" s="249">
        <f>IF('0 Úvod'!$J$16&gt;'2 ZH'!L$21,0,IF(L$21-'0 Úvod'!$J$16&gt;='2 ZH'!$E42,0,IF('0 Úvod'!$G$18+'0 Úvod'!$J$18&gt;'2 ZH'!L$21,'2 ZH'!$G42,0)))</f>
        <v>0</v>
      </c>
      <c r="M26" s="249">
        <f>IF('0 Úvod'!$J$16&gt;'2 ZH'!M$21,0,IF(M$21-'0 Úvod'!$J$16&gt;='2 ZH'!$E42,0,IF('0 Úvod'!$G$18+'0 Úvod'!$J$18&gt;'2 ZH'!M$21,'2 ZH'!$G42,0)))</f>
        <v>0</v>
      </c>
      <c r="N26" s="249">
        <f>IF('0 Úvod'!$J$16&gt;'2 ZH'!N$21,0,IF(N$21-'0 Úvod'!$J$16&gt;='2 ZH'!$E42,0,IF('0 Úvod'!$G$18+'0 Úvod'!$J$18&gt;'2 ZH'!N$21,'2 ZH'!$G42,0)))</f>
        <v>0</v>
      </c>
      <c r="O26" s="249">
        <f>IF('0 Úvod'!$J$16&gt;'2 ZH'!O$21,0,IF(O$21-'0 Úvod'!$J$16&gt;='2 ZH'!$E42,0,IF('0 Úvod'!$G$18+'0 Úvod'!$J$18&gt;'2 ZH'!O$21,'2 ZH'!$G42,0)))</f>
        <v>0</v>
      </c>
      <c r="P26" s="249">
        <f>IF('0 Úvod'!$J$16&gt;'2 ZH'!P$21,0,IF(P$21-'0 Úvod'!$J$16&gt;='2 ZH'!$E42,0,IF('0 Úvod'!$G$18+'0 Úvod'!$J$18&gt;'2 ZH'!P$21,'2 ZH'!$G42,0)))</f>
        <v>0</v>
      </c>
      <c r="Q26" s="249">
        <f>IF('0 Úvod'!$J$16&gt;'2 ZH'!Q$21,0,IF(Q$21-'0 Úvod'!$J$16&gt;='2 ZH'!$E42,0,IF('0 Úvod'!$G$18+'0 Úvod'!$J$18&gt;'2 ZH'!Q$21,'2 ZH'!$G42,0)))</f>
        <v>0</v>
      </c>
      <c r="R26" s="249">
        <f>IF('0 Úvod'!$J$16&gt;'2 ZH'!R$21,0,IF(R$21-'0 Úvod'!$J$16&gt;='2 ZH'!$E42,0,IF('0 Úvod'!$G$18+'0 Úvod'!$J$18&gt;'2 ZH'!R$21,'2 ZH'!$G42,0)))</f>
        <v>0</v>
      </c>
      <c r="S26" s="249">
        <f>IF('0 Úvod'!$J$16&gt;'2 ZH'!S$21,0,IF(S$21-'0 Úvod'!$J$16&gt;='2 ZH'!$E42,0,IF('0 Úvod'!$G$18+'0 Úvod'!$J$18&gt;'2 ZH'!S$21,'2 ZH'!$G42,0)))</f>
        <v>0</v>
      </c>
      <c r="T26" s="249">
        <f>IF('0 Úvod'!$J$16&gt;'2 ZH'!T$21,0,IF(T$21-'0 Úvod'!$J$16&gt;='2 ZH'!$E42,0,IF('0 Úvod'!$G$18+'0 Úvod'!$J$18&gt;'2 ZH'!T$21,'2 ZH'!$G42,0)))</f>
        <v>0</v>
      </c>
      <c r="U26" s="249">
        <f>IF('0 Úvod'!$J$16&gt;'2 ZH'!U$21,0,IF(U$21-'0 Úvod'!$J$16&gt;='2 ZH'!$E42,0,IF('0 Úvod'!$G$18+'0 Úvod'!$J$18&gt;'2 ZH'!U$21,'2 ZH'!$G42,0)))</f>
        <v>0</v>
      </c>
      <c r="V26" s="249">
        <f>IF('0 Úvod'!$J$16&gt;'2 ZH'!V$21,0,IF(V$21-'0 Úvod'!$J$16&gt;='2 ZH'!$E42,0,IF('0 Úvod'!$G$18+'0 Úvod'!$J$18&gt;'2 ZH'!V$21,'2 ZH'!$G42,0)))</f>
        <v>0</v>
      </c>
      <c r="W26" s="249">
        <f>IF('0 Úvod'!$J$16&gt;'2 ZH'!W$21,0,IF(W$21-'0 Úvod'!$J$16&gt;='2 ZH'!$E42,0,IF('0 Úvod'!$G$18+'0 Úvod'!$J$18&gt;'2 ZH'!W$21,'2 ZH'!$G42,0)))</f>
        <v>0</v>
      </c>
      <c r="X26" s="249">
        <f>IF('0 Úvod'!$J$16&gt;'2 ZH'!X$21,0,IF(X$21-'0 Úvod'!$J$16&gt;='2 ZH'!$E42,0,IF('0 Úvod'!$G$18+'0 Úvod'!$J$18&gt;'2 ZH'!X$21,'2 ZH'!$G42,0)))</f>
        <v>0</v>
      </c>
      <c r="Y26" s="249">
        <f>IF('0 Úvod'!$J$16&gt;'2 ZH'!Y$21,0,IF(Y$21-'0 Úvod'!$J$16&gt;='2 ZH'!$E42,0,IF('0 Úvod'!$G$18+'0 Úvod'!$J$18&gt;'2 ZH'!Y$21,'2 ZH'!$G42,0)))</f>
        <v>0</v>
      </c>
      <c r="Z26" s="249">
        <f>IF('0 Úvod'!$J$16&gt;'2 ZH'!Z$21,0,IF(Z$21-'0 Úvod'!$J$16&gt;='2 ZH'!$E42,0,IF('0 Úvod'!$G$18+'0 Úvod'!$J$18&gt;'2 ZH'!Z$21,'2 ZH'!$G42,0)))</f>
        <v>0</v>
      </c>
      <c r="AA26" s="249">
        <f>IF('0 Úvod'!$J$16&gt;'2 ZH'!AA$21,0,IF(AA$21-'0 Úvod'!$J$16&gt;='2 ZH'!$E42,0,IF('0 Úvod'!$G$18+'0 Úvod'!$J$18&gt;'2 ZH'!AA$21,'2 ZH'!$G42,0)))</f>
        <v>0</v>
      </c>
      <c r="AB26" s="249">
        <f>IF('0 Úvod'!$J$16&gt;'2 ZH'!AB$21,0,IF(AB$21-'0 Úvod'!$J$16&gt;='2 ZH'!$E42,0,IF('0 Úvod'!$G$18+'0 Úvod'!$J$18&gt;'2 ZH'!AB$21,'2 ZH'!$G42,0)))</f>
        <v>0</v>
      </c>
      <c r="AC26" s="255">
        <f>IF('0 Úvod'!$J$16&gt;'2 ZH'!AC$21,0,IF(AC$21-'0 Úvod'!$J$16&gt;='2 ZH'!$E42,0,IF('0 Úvod'!$G$18+'0 Úvod'!$J$18&gt;'2 ZH'!AC$21,'2 ZH'!$G42,0)))</f>
        <v>0</v>
      </c>
    </row>
    <row r="27" spans="2:29" ht="12">
      <c r="B27" s="664"/>
      <c r="C27" s="642" t="str">
        <f t="shared" si="6"/>
        <v>Mosty, propustky, tunely a štoly</v>
      </c>
      <c r="D27" s="672"/>
      <c r="E27" s="260">
        <f>IF('0 Úvod'!$J$16&gt;'2 ZH'!E$21,0,IF(E$21-'0 Úvod'!$J$16&gt;='2 ZH'!$E43,0,IF('0 Úvod'!$G$18+'0 Úvod'!$J$18&gt;'2 ZH'!E$21,'2 ZH'!$G43,0)))</f>
        <v>0</v>
      </c>
      <c r="F27" s="249">
        <f>IF('0 Úvod'!$J$16&gt;'2 ZH'!F$21,0,IF(F$21-'0 Úvod'!$J$16&gt;='2 ZH'!$E43,0,IF('0 Úvod'!$G$18+'0 Úvod'!$J$18&gt;'2 ZH'!F$21,'2 ZH'!$G43,0)))</f>
        <v>0</v>
      </c>
      <c r="G27" s="249">
        <f>IF('0 Úvod'!$J$16&gt;'2 ZH'!G$21,0,IF(G$21-'0 Úvod'!$J$16&gt;='2 ZH'!$E43,0,IF('0 Úvod'!$G$18+'0 Úvod'!$J$18&gt;'2 ZH'!G$21,'2 ZH'!$G43,0)))</f>
        <v>0</v>
      </c>
      <c r="H27" s="249">
        <f>IF('0 Úvod'!$J$16&gt;'2 ZH'!H$21,0,IF(H$21-'0 Úvod'!$J$16&gt;='2 ZH'!$E43,0,IF('0 Úvod'!$G$18+'0 Úvod'!$J$18&gt;'2 ZH'!H$21,'2 ZH'!$G43,0)))</f>
        <v>0</v>
      </c>
      <c r="I27" s="249">
        <f>IF('0 Úvod'!$J$16&gt;'2 ZH'!I$21,0,IF(I$21-'0 Úvod'!$J$16&gt;='2 ZH'!$E43,0,IF('0 Úvod'!$G$18+'0 Úvod'!$J$18&gt;'2 ZH'!I$21,'2 ZH'!$G43,0)))</f>
        <v>0</v>
      </c>
      <c r="J27" s="249">
        <f>IF('0 Úvod'!$J$16&gt;'2 ZH'!J$21,0,IF(J$21-'0 Úvod'!$J$16&gt;='2 ZH'!$E43,0,IF('0 Úvod'!$G$18+'0 Úvod'!$J$18&gt;'2 ZH'!J$21,'2 ZH'!$G43,0)))</f>
        <v>0</v>
      </c>
      <c r="K27" s="249">
        <f>IF('0 Úvod'!$J$16&gt;'2 ZH'!K$21,0,IF(K$21-'0 Úvod'!$J$16&gt;='2 ZH'!$E43,0,IF('0 Úvod'!$G$18+'0 Úvod'!$J$18&gt;'2 ZH'!K$21,'2 ZH'!$G43,0)))</f>
        <v>0</v>
      </c>
      <c r="L27" s="249">
        <f>IF('0 Úvod'!$J$16&gt;'2 ZH'!L$21,0,IF(L$21-'0 Úvod'!$J$16&gt;='2 ZH'!$E43,0,IF('0 Úvod'!$G$18+'0 Úvod'!$J$18&gt;'2 ZH'!L$21,'2 ZH'!$G43,0)))</f>
        <v>0</v>
      </c>
      <c r="M27" s="249">
        <f>IF('0 Úvod'!$J$16&gt;'2 ZH'!M$21,0,IF(M$21-'0 Úvod'!$J$16&gt;='2 ZH'!$E43,0,IF('0 Úvod'!$G$18+'0 Úvod'!$J$18&gt;'2 ZH'!M$21,'2 ZH'!$G43,0)))</f>
        <v>0</v>
      </c>
      <c r="N27" s="249">
        <f>IF('0 Úvod'!$J$16&gt;'2 ZH'!N$21,0,IF(N$21-'0 Úvod'!$J$16&gt;='2 ZH'!$E43,0,IF('0 Úvod'!$G$18+'0 Úvod'!$J$18&gt;'2 ZH'!N$21,'2 ZH'!$G43,0)))</f>
        <v>0</v>
      </c>
      <c r="O27" s="249">
        <f>IF('0 Úvod'!$J$16&gt;'2 ZH'!O$21,0,IF(O$21-'0 Úvod'!$J$16&gt;='2 ZH'!$E43,0,IF('0 Úvod'!$G$18+'0 Úvod'!$J$18&gt;'2 ZH'!O$21,'2 ZH'!$G43,0)))</f>
        <v>0</v>
      </c>
      <c r="P27" s="249">
        <f>IF('0 Úvod'!$J$16&gt;'2 ZH'!P$21,0,IF(P$21-'0 Úvod'!$J$16&gt;='2 ZH'!$E43,0,IF('0 Úvod'!$G$18+'0 Úvod'!$J$18&gt;'2 ZH'!P$21,'2 ZH'!$G43,0)))</f>
        <v>0</v>
      </c>
      <c r="Q27" s="249">
        <f>IF('0 Úvod'!$J$16&gt;'2 ZH'!Q$21,0,IF(Q$21-'0 Úvod'!$J$16&gt;='2 ZH'!$E43,0,IF('0 Úvod'!$G$18+'0 Úvod'!$J$18&gt;'2 ZH'!Q$21,'2 ZH'!$G43,0)))</f>
        <v>0</v>
      </c>
      <c r="R27" s="249">
        <f>IF('0 Úvod'!$J$16&gt;'2 ZH'!R$21,0,IF(R$21-'0 Úvod'!$J$16&gt;='2 ZH'!$E43,0,IF('0 Úvod'!$G$18+'0 Úvod'!$J$18&gt;'2 ZH'!R$21,'2 ZH'!$G43,0)))</f>
        <v>0</v>
      </c>
      <c r="S27" s="249">
        <f>IF('0 Úvod'!$J$16&gt;'2 ZH'!S$21,0,IF(S$21-'0 Úvod'!$J$16&gt;='2 ZH'!$E43,0,IF('0 Úvod'!$G$18+'0 Úvod'!$J$18&gt;'2 ZH'!S$21,'2 ZH'!$G43,0)))</f>
        <v>0</v>
      </c>
      <c r="T27" s="249">
        <f>IF('0 Úvod'!$J$16&gt;'2 ZH'!T$21,0,IF(T$21-'0 Úvod'!$J$16&gt;='2 ZH'!$E43,0,IF('0 Úvod'!$G$18+'0 Úvod'!$J$18&gt;'2 ZH'!T$21,'2 ZH'!$G43,0)))</f>
        <v>0</v>
      </c>
      <c r="U27" s="249">
        <f>IF('0 Úvod'!$J$16&gt;'2 ZH'!U$21,0,IF(U$21-'0 Úvod'!$J$16&gt;='2 ZH'!$E43,0,IF('0 Úvod'!$G$18+'0 Úvod'!$J$18&gt;'2 ZH'!U$21,'2 ZH'!$G43,0)))</f>
        <v>0</v>
      </c>
      <c r="V27" s="249">
        <f>IF('0 Úvod'!$J$16&gt;'2 ZH'!V$21,0,IF(V$21-'0 Úvod'!$J$16&gt;='2 ZH'!$E43,0,IF('0 Úvod'!$G$18+'0 Úvod'!$J$18&gt;'2 ZH'!V$21,'2 ZH'!$G43,0)))</f>
        <v>0</v>
      </c>
      <c r="W27" s="249">
        <f>IF('0 Úvod'!$J$16&gt;'2 ZH'!W$21,0,IF(W$21-'0 Úvod'!$J$16&gt;='2 ZH'!$E43,0,IF('0 Úvod'!$G$18+'0 Úvod'!$J$18&gt;'2 ZH'!W$21,'2 ZH'!$G43,0)))</f>
        <v>0</v>
      </c>
      <c r="X27" s="249">
        <f>IF('0 Úvod'!$J$16&gt;'2 ZH'!X$21,0,IF(X$21-'0 Úvod'!$J$16&gt;='2 ZH'!$E43,0,IF('0 Úvod'!$G$18+'0 Úvod'!$J$18&gt;'2 ZH'!X$21,'2 ZH'!$G43,0)))</f>
        <v>0</v>
      </c>
      <c r="Y27" s="249">
        <f>IF('0 Úvod'!$J$16&gt;'2 ZH'!Y$21,0,IF(Y$21-'0 Úvod'!$J$16&gt;='2 ZH'!$E43,0,IF('0 Úvod'!$G$18+'0 Úvod'!$J$18&gt;'2 ZH'!Y$21,'2 ZH'!$G43,0)))</f>
        <v>0</v>
      </c>
      <c r="Z27" s="249">
        <f>IF('0 Úvod'!$J$16&gt;'2 ZH'!Z$21,0,IF(Z$21-'0 Úvod'!$J$16&gt;='2 ZH'!$E43,0,IF('0 Úvod'!$G$18+'0 Úvod'!$J$18&gt;'2 ZH'!Z$21,'2 ZH'!$G43,0)))</f>
        <v>0</v>
      </c>
      <c r="AA27" s="249">
        <f>IF('0 Úvod'!$J$16&gt;'2 ZH'!AA$21,0,IF(AA$21-'0 Úvod'!$J$16&gt;='2 ZH'!$E43,0,IF('0 Úvod'!$G$18+'0 Úvod'!$J$18&gt;'2 ZH'!AA$21,'2 ZH'!$G43,0)))</f>
        <v>0</v>
      </c>
      <c r="AB27" s="249">
        <f>IF('0 Úvod'!$J$16&gt;'2 ZH'!AB$21,0,IF(AB$21-'0 Úvod'!$J$16&gt;='2 ZH'!$E43,0,IF('0 Úvod'!$G$18+'0 Úvod'!$J$18&gt;'2 ZH'!AB$21,'2 ZH'!$G43,0)))</f>
        <v>0</v>
      </c>
      <c r="AC27" s="255">
        <f>IF('0 Úvod'!$J$16&gt;'2 ZH'!AC$21,0,IF(AC$21-'0 Úvod'!$J$16&gt;='2 ZH'!$E43,0,IF('0 Úvod'!$G$18+'0 Úvod'!$J$18&gt;'2 ZH'!AC$21,'2 ZH'!$G43,0)))</f>
        <v>0</v>
      </c>
    </row>
    <row r="28" spans="2:29" ht="12">
      <c r="B28" s="664"/>
      <c r="C28" s="642" t="str">
        <f t="shared" si="6"/>
        <v>Pozemní stavby </v>
      </c>
      <c r="D28" s="672"/>
      <c r="E28" s="260">
        <f>IF('0 Úvod'!$J$16&gt;'2 ZH'!E$21,0,IF(E$21-'0 Úvod'!$J$16&gt;='2 ZH'!$E44,0,IF('0 Úvod'!$G$18+'0 Úvod'!$J$18&gt;'2 ZH'!E$21,'2 ZH'!$G44,0)))</f>
        <v>0</v>
      </c>
      <c r="F28" s="249">
        <f>IF('0 Úvod'!$J$16&gt;'2 ZH'!F$21,0,IF(F$21-'0 Úvod'!$J$16&gt;='2 ZH'!$E44,0,IF('0 Úvod'!$G$18+'0 Úvod'!$J$18&gt;'2 ZH'!F$21,'2 ZH'!$G44,0)))</f>
        <v>0</v>
      </c>
      <c r="G28" s="249">
        <f>IF('0 Úvod'!$J$16&gt;'2 ZH'!G$21,0,IF(G$21-'0 Úvod'!$J$16&gt;='2 ZH'!$E44,0,IF('0 Úvod'!$G$18+'0 Úvod'!$J$18&gt;'2 ZH'!G$21,'2 ZH'!$G44,0)))</f>
        <v>0</v>
      </c>
      <c r="H28" s="249">
        <f>IF('0 Úvod'!$J$16&gt;'2 ZH'!H$21,0,IF(H$21-'0 Úvod'!$J$16&gt;='2 ZH'!$E44,0,IF('0 Úvod'!$G$18+'0 Úvod'!$J$18&gt;'2 ZH'!H$21,'2 ZH'!$G44,0)))</f>
        <v>0</v>
      </c>
      <c r="I28" s="249">
        <f>IF('0 Úvod'!$J$16&gt;'2 ZH'!I$21,0,IF(I$21-'0 Úvod'!$J$16&gt;='2 ZH'!$E44,0,IF('0 Úvod'!$G$18+'0 Úvod'!$J$18&gt;'2 ZH'!I$21,'2 ZH'!$G44,0)))</f>
        <v>0</v>
      </c>
      <c r="J28" s="249">
        <f>IF('0 Úvod'!$J$16&gt;'2 ZH'!J$21,0,IF(J$21-'0 Úvod'!$J$16&gt;='2 ZH'!$E44,0,IF('0 Úvod'!$G$18+'0 Úvod'!$J$18&gt;'2 ZH'!J$21,'2 ZH'!$G44,0)))</f>
        <v>0</v>
      </c>
      <c r="K28" s="249">
        <f>IF('0 Úvod'!$J$16&gt;'2 ZH'!K$21,0,IF(K$21-'0 Úvod'!$J$16&gt;='2 ZH'!$E44,0,IF('0 Úvod'!$G$18+'0 Úvod'!$J$18&gt;'2 ZH'!K$21,'2 ZH'!$G44,0)))</f>
        <v>0</v>
      </c>
      <c r="L28" s="249">
        <f>IF('0 Úvod'!$J$16&gt;'2 ZH'!L$21,0,IF(L$21-'0 Úvod'!$J$16&gt;='2 ZH'!$E44,0,IF('0 Úvod'!$G$18+'0 Úvod'!$J$18&gt;'2 ZH'!L$21,'2 ZH'!$G44,0)))</f>
        <v>0</v>
      </c>
      <c r="M28" s="249">
        <f>IF('0 Úvod'!$J$16&gt;'2 ZH'!M$21,0,IF(M$21-'0 Úvod'!$J$16&gt;='2 ZH'!$E44,0,IF('0 Úvod'!$G$18+'0 Úvod'!$J$18&gt;'2 ZH'!M$21,'2 ZH'!$G44,0)))</f>
        <v>0</v>
      </c>
      <c r="N28" s="249">
        <f>IF('0 Úvod'!$J$16&gt;'2 ZH'!N$21,0,IF(N$21-'0 Úvod'!$J$16&gt;='2 ZH'!$E44,0,IF('0 Úvod'!$G$18+'0 Úvod'!$J$18&gt;'2 ZH'!N$21,'2 ZH'!$G44,0)))</f>
        <v>0</v>
      </c>
      <c r="O28" s="249">
        <f>IF('0 Úvod'!$J$16&gt;'2 ZH'!O$21,0,IF(O$21-'0 Úvod'!$J$16&gt;='2 ZH'!$E44,0,IF('0 Úvod'!$G$18+'0 Úvod'!$J$18&gt;'2 ZH'!O$21,'2 ZH'!$G44,0)))</f>
        <v>0</v>
      </c>
      <c r="P28" s="249">
        <f>IF('0 Úvod'!$J$16&gt;'2 ZH'!P$21,0,IF(P$21-'0 Úvod'!$J$16&gt;='2 ZH'!$E44,0,IF('0 Úvod'!$G$18+'0 Úvod'!$J$18&gt;'2 ZH'!P$21,'2 ZH'!$G44,0)))</f>
        <v>0</v>
      </c>
      <c r="Q28" s="249">
        <f>IF('0 Úvod'!$J$16&gt;'2 ZH'!Q$21,0,IF(Q$21-'0 Úvod'!$J$16&gt;='2 ZH'!$E44,0,IF('0 Úvod'!$G$18+'0 Úvod'!$J$18&gt;'2 ZH'!Q$21,'2 ZH'!$G44,0)))</f>
        <v>0</v>
      </c>
      <c r="R28" s="249">
        <f>IF('0 Úvod'!$J$16&gt;'2 ZH'!R$21,0,IF(R$21-'0 Úvod'!$J$16&gt;='2 ZH'!$E44,0,IF('0 Úvod'!$G$18+'0 Úvod'!$J$18&gt;'2 ZH'!R$21,'2 ZH'!$G44,0)))</f>
        <v>0</v>
      </c>
      <c r="S28" s="249">
        <f>IF('0 Úvod'!$J$16&gt;'2 ZH'!S$21,0,IF(S$21-'0 Úvod'!$J$16&gt;='2 ZH'!$E44,0,IF('0 Úvod'!$G$18+'0 Úvod'!$J$18&gt;'2 ZH'!S$21,'2 ZH'!$G44,0)))</f>
        <v>0</v>
      </c>
      <c r="T28" s="249">
        <f>IF('0 Úvod'!$J$16&gt;'2 ZH'!T$21,0,IF(T$21-'0 Úvod'!$J$16&gt;='2 ZH'!$E44,0,IF('0 Úvod'!$G$18+'0 Úvod'!$J$18&gt;'2 ZH'!T$21,'2 ZH'!$G44,0)))</f>
        <v>0</v>
      </c>
      <c r="U28" s="249">
        <f>IF('0 Úvod'!$J$16&gt;'2 ZH'!U$21,0,IF(U$21-'0 Úvod'!$J$16&gt;='2 ZH'!$E44,0,IF('0 Úvod'!$G$18+'0 Úvod'!$J$18&gt;'2 ZH'!U$21,'2 ZH'!$G44,0)))</f>
        <v>0</v>
      </c>
      <c r="V28" s="249">
        <f>IF('0 Úvod'!$J$16&gt;'2 ZH'!V$21,0,IF(V$21-'0 Úvod'!$J$16&gt;='2 ZH'!$E44,0,IF('0 Úvod'!$G$18+'0 Úvod'!$J$18&gt;'2 ZH'!V$21,'2 ZH'!$G44,0)))</f>
        <v>0</v>
      </c>
      <c r="W28" s="249">
        <f>IF('0 Úvod'!$J$16&gt;'2 ZH'!W$21,0,IF(W$21-'0 Úvod'!$J$16&gt;='2 ZH'!$E44,0,IF('0 Úvod'!$G$18+'0 Úvod'!$J$18&gt;'2 ZH'!W$21,'2 ZH'!$G44,0)))</f>
        <v>0</v>
      </c>
      <c r="X28" s="249">
        <f>IF('0 Úvod'!$J$16&gt;'2 ZH'!X$21,0,IF(X$21-'0 Úvod'!$J$16&gt;='2 ZH'!$E44,0,IF('0 Úvod'!$G$18+'0 Úvod'!$J$18&gt;'2 ZH'!X$21,'2 ZH'!$G44,0)))</f>
        <v>0</v>
      </c>
      <c r="Y28" s="249">
        <f>IF('0 Úvod'!$J$16&gt;'2 ZH'!Y$21,0,IF(Y$21-'0 Úvod'!$J$16&gt;='2 ZH'!$E44,0,IF('0 Úvod'!$G$18+'0 Úvod'!$J$18&gt;'2 ZH'!Y$21,'2 ZH'!$G44,0)))</f>
        <v>0</v>
      </c>
      <c r="Z28" s="249">
        <f>IF('0 Úvod'!$J$16&gt;'2 ZH'!Z$21,0,IF(Z$21-'0 Úvod'!$J$16&gt;='2 ZH'!$E44,0,IF('0 Úvod'!$G$18+'0 Úvod'!$J$18&gt;'2 ZH'!Z$21,'2 ZH'!$G44,0)))</f>
        <v>0</v>
      </c>
      <c r="AA28" s="249">
        <f>IF('0 Úvod'!$J$16&gt;'2 ZH'!AA$21,0,IF(AA$21-'0 Úvod'!$J$16&gt;='2 ZH'!$E44,0,IF('0 Úvod'!$G$18+'0 Úvod'!$J$18&gt;'2 ZH'!AA$21,'2 ZH'!$G44,0)))</f>
        <v>0</v>
      </c>
      <c r="AB28" s="249">
        <f>IF('0 Úvod'!$J$16&gt;'2 ZH'!AB$21,0,IF(AB$21-'0 Úvod'!$J$16&gt;='2 ZH'!$E44,0,IF('0 Úvod'!$G$18+'0 Úvod'!$J$18&gt;'2 ZH'!AB$21,'2 ZH'!$G44,0)))</f>
        <v>0</v>
      </c>
      <c r="AC28" s="255">
        <f>IF('0 Úvod'!$J$16&gt;'2 ZH'!AC$21,0,IF(AC$21-'0 Úvod'!$J$16&gt;='2 ZH'!$E44,0,IF('0 Úvod'!$G$18+'0 Úvod'!$J$18&gt;'2 ZH'!AC$21,'2 ZH'!$G44,0)))</f>
        <v>0</v>
      </c>
    </row>
    <row r="29" spans="2:29" ht="12">
      <c r="B29" s="664"/>
      <c r="C29" s="642" t="str">
        <f t="shared" si="6"/>
        <v>Komunikace a zpevněné plochy</v>
      </c>
      <c r="D29" s="672"/>
      <c r="E29" s="260">
        <f>IF('0 Úvod'!$J$16&gt;'2 ZH'!E$21,0,IF(E$21-'0 Úvod'!$J$16&gt;='2 ZH'!$E45,0,IF('0 Úvod'!$G$18+'0 Úvod'!$J$18&gt;'2 ZH'!E$21,'2 ZH'!$G45,0)))</f>
        <v>0</v>
      </c>
      <c r="F29" s="249">
        <f>IF('0 Úvod'!$J$16&gt;'2 ZH'!F$21,0,IF(F$21-'0 Úvod'!$J$16&gt;='2 ZH'!$E45,0,IF('0 Úvod'!$G$18+'0 Úvod'!$J$18&gt;'2 ZH'!F$21,'2 ZH'!$G45,0)))</f>
        <v>0</v>
      </c>
      <c r="G29" s="249">
        <f>IF('0 Úvod'!$J$16&gt;'2 ZH'!G$21,0,IF(G$21-'0 Úvod'!$J$16&gt;='2 ZH'!$E45,0,IF('0 Úvod'!$G$18+'0 Úvod'!$J$18&gt;'2 ZH'!G$21,'2 ZH'!$G45,0)))</f>
        <v>0</v>
      </c>
      <c r="H29" s="249">
        <f>IF('0 Úvod'!$J$16&gt;'2 ZH'!H$21,0,IF(H$21-'0 Úvod'!$J$16&gt;='2 ZH'!$E45,0,IF('0 Úvod'!$G$18+'0 Úvod'!$J$18&gt;'2 ZH'!H$21,'2 ZH'!$G45,0)))</f>
        <v>0</v>
      </c>
      <c r="I29" s="249">
        <f>IF('0 Úvod'!$J$16&gt;'2 ZH'!I$21,0,IF(I$21-'0 Úvod'!$J$16&gt;='2 ZH'!$E45,0,IF('0 Úvod'!$G$18+'0 Úvod'!$J$18&gt;'2 ZH'!I$21,'2 ZH'!$G45,0)))</f>
        <v>0</v>
      </c>
      <c r="J29" s="249">
        <f>IF('0 Úvod'!$J$16&gt;'2 ZH'!J$21,0,IF(J$21-'0 Úvod'!$J$16&gt;='2 ZH'!$E45,0,IF('0 Úvod'!$G$18+'0 Úvod'!$J$18&gt;'2 ZH'!J$21,'2 ZH'!$G45,0)))</f>
        <v>0</v>
      </c>
      <c r="K29" s="249">
        <f>IF('0 Úvod'!$J$16&gt;'2 ZH'!K$21,0,IF(K$21-'0 Úvod'!$J$16&gt;='2 ZH'!$E45,0,IF('0 Úvod'!$G$18+'0 Úvod'!$J$18&gt;'2 ZH'!K$21,'2 ZH'!$G45,0)))</f>
        <v>0</v>
      </c>
      <c r="L29" s="249">
        <f>IF('0 Úvod'!$J$16&gt;'2 ZH'!L$21,0,IF(L$21-'0 Úvod'!$J$16&gt;='2 ZH'!$E45,0,IF('0 Úvod'!$G$18+'0 Úvod'!$J$18&gt;'2 ZH'!L$21,'2 ZH'!$G45,0)))</f>
        <v>0</v>
      </c>
      <c r="M29" s="249">
        <f>IF('0 Úvod'!$J$16&gt;'2 ZH'!M$21,0,IF(M$21-'0 Úvod'!$J$16&gt;='2 ZH'!$E45,0,IF('0 Úvod'!$G$18+'0 Úvod'!$J$18&gt;'2 ZH'!M$21,'2 ZH'!$G45,0)))</f>
        <v>0</v>
      </c>
      <c r="N29" s="249">
        <f>IF('0 Úvod'!$J$16&gt;'2 ZH'!N$21,0,IF(N$21-'0 Úvod'!$J$16&gt;='2 ZH'!$E45,0,IF('0 Úvod'!$G$18+'0 Úvod'!$J$18&gt;'2 ZH'!N$21,'2 ZH'!$G45,0)))</f>
        <v>0</v>
      </c>
      <c r="O29" s="249">
        <f>IF('0 Úvod'!$J$16&gt;'2 ZH'!O$21,0,IF(O$21-'0 Úvod'!$J$16&gt;='2 ZH'!$E45,0,IF('0 Úvod'!$G$18+'0 Úvod'!$J$18&gt;'2 ZH'!O$21,'2 ZH'!$G45,0)))</f>
        <v>0</v>
      </c>
      <c r="P29" s="249">
        <f>IF('0 Úvod'!$J$16&gt;'2 ZH'!P$21,0,IF(P$21-'0 Úvod'!$J$16&gt;='2 ZH'!$E45,0,IF('0 Úvod'!$G$18+'0 Úvod'!$J$18&gt;'2 ZH'!P$21,'2 ZH'!$G45,0)))</f>
        <v>0</v>
      </c>
      <c r="Q29" s="249">
        <f>IF('0 Úvod'!$J$16&gt;'2 ZH'!Q$21,0,IF(Q$21-'0 Úvod'!$J$16&gt;='2 ZH'!$E45,0,IF('0 Úvod'!$G$18+'0 Úvod'!$J$18&gt;'2 ZH'!Q$21,'2 ZH'!$G45,0)))</f>
        <v>0</v>
      </c>
      <c r="R29" s="249">
        <f>IF('0 Úvod'!$J$16&gt;'2 ZH'!R$21,0,IF(R$21-'0 Úvod'!$J$16&gt;='2 ZH'!$E45,0,IF('0 Úvod'!$G$18+'0 Úvod'!$J$18&gt;'2 ZH'!R$21,'2 ZH'!$G45,0)))</f>
        <v>0</v>
      </c>
      <c r="S29" s="249">
        <f>IF('0 Úvod'!$J$16&gt;'2 ZH'!S$21,0,IF(S$21-'0 Úvod'!$J$16&gt;='2 ZH'!$E45,0,IF('0 Úvod'!$G$18+'0 Úvod'!$J$18&gt;'2 ZH'!S$21,'2 ZH'!$G45,0)))</f>
        <v>0</v>
      </c>
      <c r="T29" s="249">
        <f>IF('0 Úvod'!$J$16&gt;'2 ZH'!T$21,0,IF(T$21-'0 Úvod'!$J$16&gt;='2 ZH'!$E45,0,IF('0 Úvod'!$G$18+'0 Úvod'!$J$18&gt;'2 ZH'!T$21,'2 ZH'!$G45,0)))</f>
        <v>0</v>
      </c>
      <c r="U29" s="249">
        <f>IF('0 Úvod'!$J$16&gt;'2 ZH'!U$21,0,IF(U$21-'0 Úvod'!$J$16&gt;='2 ZH'!$E45,0,IF('0 Úvod'!$G$18+'0 Úvod'!$J$18&gt;'2 ZH'!U$21,'2 ZH'!$G45,0)))</f>
        <v>0</v>
      </c>
      <c r="V29" s="249">
        <f>IF('0 Úvod'!$J$16&gt;'2 ZH'!V$21,0,IF(V$21-'0 Úvod'!$J$16&gt;='2 ZH'!$E45,0,IF('0 Úvod'!$G$18+'0 Úvod'!$J$18&gt;'2 ZH'!V$21,'2 ZH'!$G45,0)))</f>
        <v>0</v>
      </c>
      <c r="W29" s="249">
        <f>IF('0 Úvod'!$J$16&gt;'2 ZH'!W$21,0,IF(W$21-'0 Úvod'!$J$16&gt;='2 ZH'!$E45,0,IF('0 Úvod'!$G$18+'0 Úvod'!$J$18&gt;'2 ZH'!W$21,'2 ZH'!$G45,0)))</f>
        <v>0</v>
      </c>
      <c r="X29" s="249">
        <f>IF('0 Úvod'!$J$16&gt;'2 ZH'!X$21,0,IF(X$21-'0 Úvod'!$J$16&gt;='2 ZH'!$E45,0,IF('0 Úvod'!$G$18+'0 Úvod'!$J$18&gt;'2 ZH'!X$21,'2 ZH'!$G45,0)))</f>
        <v>0</v>
      </c>
      <c r="Y29" s="249">
        <f>IF('0 Úvod'!$J$16&gt;'2 ZH'!Y$21,0,IF(Y$21-'0 Úvod'!$J$16&gt;='2 ZH'!$E45,0,IF('0 Úvod'!$G$18+'0 Úvod'!$J$18&gt;'2 ZH'!Y$21,'2 ZH'!$G45,0)))</f>
        <v>0</v>
      </c>
      <c r="Z29" s="249">
        <f>IF('0 Úvod'!$J$16&gt;'2 ZH'!Z$21,0,IF(Z$21-'0 Úvod'!$J$16&gt;='2 ZH'!$E45,0,IF('0 Úvod'!$G$18+'0 Úvod'!$J$18&gt;'2 ZH'!Z$21,'2 ZH'!$G45,0)))</f>
        <v>0</v>
      </c>
      <c r="AA29" s="249">
        <f>IF('0 Úvod'!$J$16&gt;'2 ZH'!AA$21,0,IF(AA$21-'0 Úvod'!$J$16&gt;='2 ZH'!$E45,0,IF('0 Úvod'!$G$18+'0 Úvod'!$J$18&gt;'2 ZH'!AA$21,'2 ZH'!$G45,0)))</f>
        <v>0</v>
      </c>
      <c r="AB29" s="249">
        <f>IF('0 Úvod'!$J$16&gt;'2 ZH'!AB$21,0,IF(AB$21-'0 Úvod'!$J$16&gt;='2 ZH'!$E45,0,IF('0 Úvod'!$G$18+'0 Úvod'!$J$18&gt;'2 ZH'!AB$21,'2 ZH'!$G45,0)))</f>
        <v>0</v>
      </c>
      <c r="AC29" s="255">
        <f>IF('0 Úvod'!$J$16&gt;'2 ZH'!AC$21,0,IF(AC$21-'0 Úvod'!$J$16&gt;='2 ZH'!$E45,0,IF('0 Úvod'!$G$18+'0 Úvod'!$J$18&gt;'2 ZH'!AC$21,'2 ZH'!$G45,0)))</f>
        <v>0</v>
      </c>
    </row>
    <row r="30" spans="2:29" ht="12">
      <c r="B30" s="664"/>
      <c r="C30" s="642" t="str">
        <f t="shared" si="6"/>
        <v>Silnoproudá instalace</v>
      </c>
      <c r="D30" s="672"/>
      <c r="E30" s="260">
        <f>IF('0 Úvod'!$J$16&gt;'2 ZH'!E$21,0,IF(E$21-'0 Úvod'!$J$16&gt;='2 ZH'!$E46,0,IF('0 Úvod'!$G$18+'0 Úvod'!$J$18&gt;'2 ZH'!E$21,'2 ZH'!$G46,0)))</f>
        <v>0</v>
      </c>
      <c r="F30" s="249">
        <f>IF('0 Úvod'!$J$16&gt;'2 ZH'!F$21,0,IF(F$21-'0 Úvod'!$J$16&gt;='2 ZH'!$E46,0,IF('0 Úvod'!$G$18+'0 Úvod'!$J$18&gt;'2 ZH'!F$21,'2 ZH'!$G46,0)))</f>
        <v>0</v>
      </c>
      <c r="G30" s="249">
        <f>IF('0 Úvod'!$J$16&gt;'2 ZH'!G$21,0,IF(G$21-'0 Úvod'!$J$16&gt;='2 ZH'!$E46,0,IF('0 Úvod'!$G$18+'0 Úvod'!$J$18&gt;'2 ZH'!G$21,'2 ZH'!$G46,0)))</f>
        <v>0</v>
      </c>
      <c r="H30" s="249">
        <f>IF('0 Úvod'!$J$16&gt;'2 ZH'!H$21,0,IF(H$21-'0 Úvod'!$J$16&gt;='2 ZH'!$E46,0,IF('0 Úvod'!$G$18+'0 Úvod'!$J$18&gt;'2 ZH'!H$21,'2 ZH'!$G46,0)))</f>
        <v>0</v>
      </c>
      <c r="I30" s="249">
        <f>IF('0 Úvod'!$J$16&gt;'2 ZH'!I$21,0,IF(I$21-'0 Úvod'!$J$16&gt;='2 ZH'!$E46,0,IF('0 Úvod'!$G$18+'0 Úvod'!$J$18&gt;'2 ZH'!I$21,'2 ZH'!$G46,0)))</f>
        <v>0</v>
      </c>
      <c r="J30" s="249">
        <f>IF('0 Úvod'!$J$16&gt;'2 ZH'!J$21,0,IF(J$21-'0 Úvod'!$J$16&gt;='2 ZH'!$E46,0,IF('0 Úvod'!$G$18+'0 Úvod'!$J$18&gt;'2 ZH'!J$21,'2 ZH'!$G46,0)))</f>
        <v>0</v>
      </c>
      <c r="K30" s="249">
        <f>IF('0 Úvod'!$J$16&gt;'2 ZH'!K$21,0,IF(K$21-'0 Úvod'!$J$16&gt;='2 ZH'!$E46,0,IF('0 Úvod'!$G$18+'0 Úvod'!$J$18&gt;'2 ZH'!K$21,'2 ZH'!$G46,0)))</f>
        <v>0</v>
      </c>
      <c r="L30" s="249">
        <f>IF('0 Úvod'!$J$16&gt;'2 ZH'!L$21,0,IF(L$21-'0 Úvod'!$J$16&gt;='2 ZH'!$E46,0,IF('0 Úvod'!$G$18+'0 Úvod'!$J$18&gt;'2 ZH'!L$21,'2 ZH'!$G46,0)))</f>
        <v>0</v>
      </c>
      <c r="M30" s="249">
        <f>IF('0 Úvod'!$J$16&gt;'2 ZH'!M$21,0,IF(M$21-'0 Úvod'!$J$16&gt;='2 ZH'!$E46,0,IF('0 Úvod'!$G$18+'0 Úvod'!$J$18&gt;'2 ZH'!M$21,'2 ZH'!$G46,0)))</f>
        <v>0</v>
      </c>
      <c r="N30" s="249">
        <f>IF('0 Úvod'!$J$16&gt;'2 ZH'!N$21,0,IF(N$21-'0 Úvod'!$J$16&gt;='2 ZH'!$E46,0,IF('0 Úvod'!$G$18+'0 Úvod'!$J$18&gt;'2 ZH'!N$21,'2 ZH'!$G46,0)))</f>
        <v>0</v>
      </c>
      <c r="O30" s="249">
        <f>IF('0 Úvod'!$J$16&gt;'2 ZH'!O$21,0,IF(O$21-'0 Úvod'!$J$16&gt;='2 ZH'!$E46,0,IF('0 Úvod'!$G$18+'0 Úvod'!$J$18&gt;'2 ZH'!O$21,'2 ZH'!$G46,0)))</f>
        <v>0</v>
      </c>
      <c r="P30" s="249">
        <f>IF('0 Úvod'!$J$16&gt;'2 ZH'!P$21,0,IF(P$21-'0 Úvod'!$J$16&gt;='2 ZH'!$E46,0,IF('0 Úvod'!$G$18+'0 Úvod'!$J$18&gt;'2 ZH'!P$21,'2 ZH'!$G46,0)))</f>
        <v>0</v>
      </c>
      <c r="Q30" s="249">
        <f>IF('0 Úvod'!$J$16&gt;'2 ZH'!Q$21,0,IF(Q$21-'0 Úvod'!$J$16&gt;='2 ZH'!$E46,0,IF('0 Úvod'!$G$18+'0 Úvod'!$J$18&gt;'2 ZH'!Q$21,'2 ZH'!$G46,0)))</f>
        <v>0</v>
      </c>
      <c r="R30" s="249">
        <f>IF('0 Úvod'!$J$16&gt;'2 ZH'!R$21,0,IF(R$21-'0 Úvod'!$J$16&gt;='2 ZH'!$E46,0,IF('0 Úvod'!$G$18+'0 Úvod'!$J$18&gt;'2 ZH'!R$21,'2 ZH'!$G46,0)))</f>
        <v>0</v>
      </c>
      <c r="S30" s="249">
        <f>IF('0 Úvod'!$J$16&gt;'2 ZH'!S$21,0,IF(S$21-'0 Úvod'!$J$16&gt;='2 ZH'!$E46,0,IF('0 Úvod'!$G$18+'0 Úvod'!$J$18&gt;'2 ZH'!S$21,'2 ZH'!$G46,0)))</f>
        <v>0</v>
      </c>
      <c r="T30" s="249">
        <f>IF('0 Úvod'!$J$16&gt;'2 ZH'!T$21,0,IF(T$21-'0 Úvod'!$J$16&gt;='2 ZH'!$E46,0,IF('0 Úvod'!$G$18+'0 Úvod'!$J$18&gt;'2 ZH'!T$21,'2 ZH'!$G46,0)))</f>
        <v>0</v>
      </c>
      <c r="U30" s="249">
        <f>IF('0 Úvod'!$J$16&gt;'2 ZH'!U$21,0,IF(U$21-'0 Úvod'!$J$16&gt;='2 ZH'!$E46,0,IF('0 Úvod'!$G$18+'0 Úvod'!$J$18&gt;'2 ZH'!U$21,'2 ZH'!$G46,0)))</f>
        <v>0</v>
      </c>
      <c r="V30" s="249">
        <f>IF('0 Úvod'!$J$16&gt;'2 ZH'!V$21,0,IF(V$21-'0 Úvod'!$J$16&gt;='2 ZH'!$E46,0,IF('0 Úvod'!$G$18+'0 Úvod'!$J$18&gt;'2 ZH'!V$21,'2 ZH'!$G46,0)))</f>
        <v>0</v>
      </c>
      <c r="W30" s="249">
        <f>IF('0 Úvod'!$J$16&gt;'2 ZH'!W$21,0,IF(W$21-'0 Úvod'!$J$16&gt;='2 ZH'!$E46,0,IF('0 Úvod'!$G$18+'0 Úvod'!$J$18&gt;'2 ZH'!W$21,'2 ZH'!$G46,0)))</f>
        <v>0</v>
      </c>
      <c r="X30" s="249">
        <f>IF('0 Úvod'!$J$16&gt;'2 ZH'!X$21,0,IF(X$21-'0 Úvod'!$J$16&gt;='2 ZH'!$E46,0,IF('0 Úvod'!$G$18+'0 Úvod'!$J$18&gt;'2 ZH'!X$21,'2 ZH'!$G46,0)))</f>
        <v>0</v>
      </c>
      <c r="Y30" s="249">
        <f>IF('0 Úvod'!$J$16&gt;'2 ZH'!Y$21,0,IF(Y$21-'0 Úvod'!$J$16&gt;='2 ZH'!$E46,0,IF('0 Úvod'!$G$18+'0 Úvod'!$J$18&gt;'2 ZH'!Y$21,'2 ZH'!$G46,0)))</f>
        <v>0</v>
      </c>
      <c r="Z30" s="249">
        <f>IF('0 Úvod'!$J$16&gt;'2 ZH'!Z$21,0,IF(Z$21-'0 Úvod'!$J$16&gt;='2 ZH'!$E46,0,IF('0 Úvod'!$G$18+'0 Úvod'!$J$18&gt;'2 ZH'!Z$21,'2 ZH'!$G46,0)))</f>
        <v>0</v>
      </c>
      <c r="AA30" s="249">
        <f>IF('0 Úvod'!$J$16&gt;'2 ZH'!AA$21,0,IF(AA$21-'0 Úvod'!$J$16&gt;='2 ZH'!$E46,0,IF('0 Úvod'!$G$18+'0 Úvod'!$J$18&gt;'2 ZH'!AA$21,'2 ZH'!$G46,0)))</f>
        <v>0</v>
      </c>
      <c r="AB30" s="249">
        <f>IF('0 Úvod'!$J$16&gt;'2 ZH'!AB$21,0,IF(AB$21-'0 Úvod'!$J$16&gt;='2 ZH'!$E46,0,IF('0 Úvod'!$G$18+'0 Úvod'!$J$18&gt;'2 ZH'!AB$21,'2 ZH'!$G46,0)))</f>
        <v>0</v>
      </c>
      <c r="AC30" s="255">
        <f>IF('0 Úvod'!$J$16&gt;'2 ZH'!AC$21,0,IF(AC$21-'0 Úvod'!$J$16&gt;='2 ZH'!$E46,0,IF('0 Úvod'!$G$18+'0 Úvod'!$J$18&gt;'2 ZH'!AC$21,'2 ZH'!$G46,0)))</f>
        <v>0</v>
      </c>
    </row>
    <row r="31" spans="2:29" ht="12">
      <c r="B31" s="664"/>
      <c r="C31" s="642" t="str">
        <f t="shared" si="6"/>
        <v>Slaboproudá instalace</v>
      </c>
      <c r="D31" s="672"/>
      <c r="E31" s="260">
        <f>IF('0 Úvod'!$J$16&gt;'2 ZH'!E$21,0,IF(E$21-'0 Úvod'!$J$16&gt;='2 ZH'!$E47,0,IF('0 Úvod'!$G$18+'0 Úvod'!$J$18&gt;'2 ZH'!E$21,'2 ZH'!$G47,0)))</f>
        <v>0</v>
      </c>
      <c r="F31" s="249">
        <f>IF('0 Úvod'!$J$16&gt;'2 ZH'!F$21,0,IF(F$21-'0 Úvod'!$J$16&gt;='2 ZH'!$E47,0,IF('0 Úvod'!$G$18+'0 Úvod'!$J$18&gt;'2 ZH'!F$21,'2 ZH'!$G47,0)))</f>
        <v>0</v>
      </c>
      <c r="G31" s="249">
        <f>IF('0 Úvod'!$J$16&gt;'2 ZH'!G$21,0,IF(G$21-'0 Úvod'!$J$16&gt;='2 ZH'!$E47,0,IF('0 Úvod'!$G$18+'0 Úvod'!$J$18&gt;'2 ZH'!G$21,'2 ZH'!$G47,0)))</f>
        <v>0</v>
      </c>
      <c r="H31" s="249">
        <f>IF('0 Úvod'!$J$16&gt;'2 ZH'!H$21,0,IF(H$21-'0 Úvod'!$J$16&gt;='2 ZH'!$E47,0,IF('0 Úvod'!$G$18+'0 Úvod'!$J$18&gt;'2 ZH'!H$21,'2 ZH'!$G47,0)))</f>
        <v>0</v>
      </c>
      <c r="I31" s="249">
        <f>IF('0 Úvod'!$J$16&gt;'2 ZH'!I$21,0,IF(I$21-'0 Úvod'!$J$16&gt;='2 ZH'!$E47,0,IF('0 Úvod'!$G$18+'0 Úvod'!$J$18&gt;'2 ZH'!I$21,'2 ZH'!$G47,0)))</f>
        <v>0</v>
      </c>
      <c r="J31" s="249">
        <f>IF('0 Úvod'!$J$16&gt;'2 ZH'!J$21,0,IF(J$21-'0 Úvod'!$J$16&gt;='2 ZH'!$E47,0,IF('0 Úvod'!$G$18+'0 Úvod'!$J$18&gt;'2 ZH'!J$21,'2 ZH'!$G47,0)))</f>
        <v>0</v>
      </c>
      <c r="K31" s="249">
        <f>IF('0 Úvod'!$J$16&gt;'2 ZH'!K$21,0,IF(K$21-'0 Úvod'!$J$16&gt;='2 ZH'!$E47,0,IF('0 Úvod'!$G$18+'0 Úvod'!$J$18&gt;'2 ZH'!K$21,'2 ZH'!$G47,0)))</f>
        <v>0</v>
      </c>
      <c r="L31" s="249">
        <f>IF('0 Úvod'!$J$16&gt;'2 ZH'!L$21,0,IF(L$21-'0 Úvod'!$J$16&gt;='2 ZH'!$E47,0,IF('0 Úvod'!$G$18+'0 Úvod'!$J$18&gt;'2 ZH'!L$21,'2 ZH'!$G47,0)))</f>
        <v>0</v>
      </c>
      <c r="M31" s="249">
        <f>IF('0 Úvod'!$J$16&gt;'2 ZH'!M$21,0,IF(M$21-'0 Úvod'!$J$16&gt;='2 ZH'!$E47,0,IF('0 Úvod'!$G$18+'0 Úvod'!$J$18&gt;'2 ZH'!M$21,'2 ZH'!$G47,0)))</f>
        <v>0</v>
      </c>
      <c r="N31" s="249">
        <f>IF('0 Úvod'!$J$16&gt;'2 ZH'!N$21,0,IF(N$21-'0 Úvod'!$J$16&gt;='2 ZH'!$E47,0,IF('0 Úvod'!$G$18+'0 Úvod'!$J$18&gt;'2 ZH'!N$21,'2 ZH'!$G47,0)))</f>
        <v>0</v>
      </c>
      <c r="O31" s="249">
        <f>IF('0 Úvod'!$J$16&gt;'2 ZH'!O$21,0,IF(O$21-'0 Úvod'!$J$16&gt;='2 ZH'!$E47,0,IF('0 Úvod'!$G$18+'0 Úvod'!$J$18&gt;'2 ZH'!O$21,'2 ZH'!$G47,0)))</f>
        <v>0</v>
      </c>
      <c r="P31" s="249">
        <f>IF('0 Úvod'!$J$16&gt;'2 ZH'!P$21,0,IF(P$21-'0 Úvod'!$J$16&gt;='2 ZH'!$E47,0,IF('0 Úvod'!$G$18+'0 Úvod'!$J$18&gt;'2 ZH'!P$21,'2 ZH'!$G47,0)))</f>
        <v>0</v>
      </c>
      <c r="Q31" s="249">
        <f>IF('0 Úvod'!$J$16&gt;'2 ZH'!Q$21,0,IF(Q$21-'0 Úvod'!$J$16&gt;='2 ZH'!$E47,0,IF('0 Úvod'!$G$18+'0 Úvod'!$J$18&gt;'2 ZH'!Q$21,'2 ZH'!$G47,0)))</f>
        <v>0</v>
      </c>
      <c r="R31" s="249">
        <f>IF('0 Úvod'!$J$16&gt;'2 ZH'!R$21,0,IF(R$21-'0 Úvod'!$J$16&gt;='2 ZH'!$E47,0,IF('0 Úvod'!$G$18+'0 Úvod'!$J$18&gt;'2 ZH'!R$21,'2 ZH'!$G47,0)))</f>
        <v>0</v>
      </c>
      <c r="S31" s="249">
        <f>IF('0 Úvod'!$J$16&gt;'2 ZH'!S$21,0,IF(S$21-'0 Úvod'!$J$16&gt;='2 ZH'!$E47,0,IF('0 Úvod'!$G$18+'0 Úvod'!$J$18&gt;'2 ZH'!S$21,'2 ZH'!$G47,0)))</f>
        <v>0</v>
      </c>
      <c r="T31" s="249">
        <f>IF('0 Úvod'!$J$16&gt;'2 ZH'!T$21,0,IF(T$21-'0 Úvod'!$J$16&gt;='2 ZH'!$E47,0,IF('0 Úvod'!$G$18+'0 Úvod'!$J$18&gt;'2 ZH'!T$21,'2 ZH'!$G47,0)))</f>
        <v>0</v>
      </c>
      <c r="U31" s="249">
        <f>IF('0 Úvod'!$J$16&gt;'2 ZH'!U$21,0,IF(U$21-'0 Úvod'!$J$16&gt;='2 ZH'!$E47,0,IF('0 Úvod'!$G$18+'0 Úvod'!$J$18&gt;'2 ZH'!U$21,'2 ZH'!$G47,0)))</f>
        <v>0</v>
      </c>
      <c r="V31" s="249">
        <f>IF('0 Úvod'!$J$16&gt;'2 ZH'!V$21,0,IF(V$21-'0 Úvod'!$J$16&gt;='2 ZH'!$E47,0,IF('0 Úvod'!$G$18+'0 Úvod'!$J$18&gt;'2 ZH'!V$21,'2 ZH'!$G47,0)))</f>
        <v>0</v>
      </c>
      <c r="W31" s="249">
        <f>IF('0 Úvod'!$J$16&gt;'2 ZH'!W$21,0,IF(W$21-'0 Úvod'!$J$16&gt;='2 ZH'!$E47,0,IF('0 Úvod'!$G$18+'0 Úvod'!$J$18&gt;'2 ZH'!W$21,'2 ZH'!$G47,0)))</f>
        <v>0</v>
      </c>
      <c r="X31" s="249">
        <f>IF('0 Úvod'!$J$16&gt;'2 ZH'!X$21,0,IF(X$21-'0 Úvod'!$J$16&gt;='2 ZH'!$E47,0,IF('0 Úvod'!$G$18+'0 Úvod'!$J$18&gt;'2 ZH'!X$21,'2 ZH'!$G47,0)))</f>
        <v>0</v>
      </c>
      <c r="Y31" s="249">
        <f>IF('0 Úvod'!$J$16&gt;'2 ZH'!Y$21,0,IF(Y$21-'0 Úvod'!$J$16&gt;='2 ZH'!$E47,0,IF('0 Úvod'!$G$18+'0 Úvod'!$J$18&gt;'2 ZH'!Y$21,'2 ZH'!$G47,0)))</f>
        <v>0</v>
      </c>
      <c r="Z31" s="249">
        <f>IF('0 Úvod'!$J$16&gt;'2 ZH'!Z$21,0,IF(Z$21-'0 Úvod'!$J$16&gt;='2 ZH'!$E47,0,IF('0 Úvod'!$G$18+'0 Úvod'!$J$18&gt;'2 ZH'!Z$21,'2 ZH'!$G47,0)))</f>
        <v>0</v>
      </c>
      <c r="AA31" s="249">
        <f>IF('0 Úvod'!$J$16&gt;'2 ZH'!AA$21,0,IF(AA$21-'0 Úvod'!$J$16&gt;='2 ZH'!$E47,0,IF('0 Úvod'!$G$18+'0 Úvod'!$J$18&gt;'2 ZH'!AA$21,'2 ZH'!$G47,0)))</f>
        <v>0</v>
      </c>
      <c r="AB31" s="249">
        <f>IF('0 Úvod'!$J$16&gt;'2 ZH'!AB$21,0,IF(AB$21-'0 Úvod'!$J$16&gt;='2 ZH'!$E47,0,IF('0 Úvod'!$G$18+'0 Úvod'!$J$18&gt;'2 ZH'!AB$21,'2 ZH'!$G47,0)))</f>
        <v>0</v>
      </c>
      <c r="AC31" s="255">
        <f>IF('0 Úvod'!$J$16&gt;'2 ZH'!AC$21,0,IF(AC$21-'0 Úvod'!$J$16&gt;='2 ZH'!$E47,0,IF('0 Úvod'!$G$18+'0 Úvod'!$J$18&gt;'2 ZH'!AC$21,'2 ZH'!$G47,0)))</f>
        <v>0</v>
      </c>
    </row>
    <row r="32" spans="2:29" ht="12">
      <c r="B32" s="664"/>
      <c r="C32" s="642" t="str">
        <f t="shared" si="6"/>
        <v>Inženýrské objekty (trubní vedení a kabelovody)</v>
      </c>
      <c r="D32" s="672"/>
      <c r="E32" s="260">
        <f>IF('0 Úvod'!$J$16&gt;'2 ZH'!E$21,0,IF(E$21-'0 Úvod'!$J$16&gt;='2 ZH'!$E48,0,IF('0 Úvod'!$G$18+'0 Úvod'!$J$18&gt;'2 ZH'!E$21,'2 ZH'!$G48,0)))</f>
        <v>0</v>
      </c>
      <c r="F32" s="249">
        <f>IF('0 Úvod'!$J$16&gt;'2 ZH'!F$21,0,IF(F$21-'0 Úvod'!$J$16&gt;='2 ZH'!$E48,0,IF('0 Úvod'!$G$18+'0 Úvod'!$J$18&gt;'2 ZH'!F$21,'2 ZH'!$G48,0)))</f>
        <v>0</v>
      </c>
      <c r="G32" s="249">
        <f>IF('0 Úvod'!$J$16&gt;'2 ZH'!G$21,0,IF(G$21-'0 Úvod'!$J$16&gt;='2 ZH'!$E48,0,IF('0 Úvod'!$G$18+'0 Úvod'!$J$18&gt;'2 ZH'!G$21,'2 ZH'!$G48,0)))</f>
        <v>0</v>
      </c>
      <c r="H32" s="249">
        <f>IF('0 Úvod'!$J$16&gt;'2 ZH'!H$21,0,IF(H$21-'0 Úvod'!$J$16&gt;='2 ZH'!$E48,0,IF('0 Úvod'!$G$18+'0 Úvod'!$J$18&gt;'2 ZH'!H$21,'2 ZH'!$G48,0)))</f>
        <v>0</v>
      </c>
      <c r="I32" s="249">
        <f>IF('0 Úvod'!$J$16&gt;'2 ZH'!I$21,0,IF(I$21-'0 Úvod'!$J$16&gt;='2 ZH'!$E48,0,IF('0 Úvod'!$G$18+'0 Úvod'!$J$18&gt;'2 ZH'!I$21,'2 ZH'!$G48,0)))</f>
        <v>0</v>
      </c>
      <c r="J32" s="249">
        <f>IF('0 Úvod'!$J$16&gt;'2 ZH'!J$21,0,IF(J$21-'0 Úvod'!$J$16&gt;='2 ZH'!$E48,0,IF('0 Úvod'!$G$18+'0 Úvod'!$J$18&gt;'2 ZH'!J$21,'2 ZH'!$G48,0)))</f>
        <v>0</v>
      </c>
      <c r="K32" s="249">
        <f>IF('0 Úvod'!$J$16&gt;'2 ZH'!K$21,0,IF(K$21-'0 Úvod'!$J$16&gt;='2 ZH'!$E48,0,IF('0 Úvod'!$G$18+'0 Úvod'!$J$18&gt;'2 ZH'!K$21,'2 ZH'!$G48,0)))</f>
        <v>0</v>
      </c>
      <c r="L32" s="249">
        <f>IF('0 Úvod'!$J$16&gt;'2 ZH'!L$21,0,IF(L$21-'0 Úvod'!$J$16&gt;='2 ZH'!$E48,0,IF('0 Úvod'!$G$18+'0 Úvod'!$J$18&gt;'2 ZH'!L$21,'2 ZH'!$G48,0)))</f>
        <v>0</v>
      </c>
      <c r="M32" s="249">
        <f>IF('0 Úvod'!$J$16&gt;'2 ZH'!M$21,0,IF(M$21-'0 Úvod'!$J$16&gt;='2 ZH'!$E48,0,IF('0 Úvod'!$G$18+'0 Úvod'!$J$18&gt;'2 ZH'!M$21,'2 ZH'!$G48,0)))</f>
        <v>0</v>
      </c>
      <c r="N32" s="249">
        <f>IF('0 Úvod'!$J$16&gt;'2 ZH'!N$21,0,IF(N$21-'0 Úvod'!$J$16&gt;='2 ZH'!$E48,0,IF('0 Úvod'!$G$18+'0 Úvod'!$J$18&gt;'2 ZH'!N$21,'2 ZH'!$G48,0)))</f>
        <v>0</v>
      </c>
      <c r="O32" s="249">
        <f>IF('0 Úvod'!$J$16&gt;'2 ZH'!O$21,0,IF(O$21-'0 Úvod'!$J$16&gt;='2 ZH'!$E48,0,IF('0 Úvod'!$G$18+'0 Úvod'!$J$18&gt;'2 ZH'!O$21,'2 ZH'!$G48,0)))</f>
        <v>0</v>
      </c>
      <c r="P32" s="249">
        <f>IF('0 Úvod'!$J$16&gt;'2 ZH'!P$21,0,IF(P$21-'0 Úvod'!$J$16&gt;='2 ZH'!$E48,0,IF('0 Úvod'!$G$18+'0 Úvod'!$J$18&gt;'2 ZH'!P$21,'2 ZH'!$G48,0)))</f>
        <v>0</v>
      </c>
      <c r="Q32" s="249">
        <f>IF('0 Úvod'!$J$16&gt;'2 ZH'!Q$21,0,IF(Q$21-'0 Úvod'!$J$16&gt;='2 ZH'!$E48,0,IF('0 Úvod'!$G$18+'0 Úvod'!$J$18&gt;'2 ZH'!Q$21,'2 ZH'!$G48,0)))</f>
        <v>0</v>
      </c>
      <c r="R32" s="249">
        <f>IF('0 Úvod'!$J$16&gt;'2 ZH'!R$21,0,IF(R$21-'0 Úvod'!$J$16&gt;='2 ZH'!$E48,0,IF('0 Úvod'!$G$18+'0 Úvod'!$J$18&gt;'2 ZH'!R$21,'2 ZH'!$G48,0)))</f>
        <v>0</v>
      </c>
      <c r="S32" s="249">
        <f>IF('0 Úvod'!$J$16&gt;'2 ZH'!S$21,0,IF(S$21-'0 Úvod'!$J$16&gt;='2 ZH'!$E48,0,IF('0 Úvod'!$G$18+'0 Úvod'!$J$18&gt;'2 ZH'!S$21,'2 ZH'!$G48,0)))</f>
        <v>0</v>
      </c>
      <c r="T32" s="249">
        <f>IF('0 Úvod'!$J$16&gt;'2 ZH'!T$21,0,IF(T$21-'0 Úvod'!$J$16&gt;='2 ZH'!$E48,0,IF('0 Úvod'!$G$18+'0 Úvod'!$J$18&gt;'2 ZH'!T$21,'2 ZH'!$G48,0)))</f>
        <v>0</v>
      </c>
      <c r="U32" s="249">
        <f>IF('0 Úvod'!$J$16&gt;'2 ZH'!U$21,0,IF(U$21-'0 Úvod'!$J$16&gt;='2 ZH'!$E48,0,IF('0 Úvod'!$G$18+'0 Úvod'!$J$18&gt;'2 ZH'!U$21,'2 ZH'!$G48,0)))</f>
        <v>0</v>
      </c>
      <c r="V32" s="249">
        <f>IF('0 Úvod'!$J$16&gt;'2 ZH'!V$21,0,IF(V$21-'0 Úvod'!$J$16&gt;='2 ZH'!$E48,0,IF('0 Úvod'!$G$18+'0 Úvod'!$J$18&gt;'2 ZH'!V$21,'2 ZH'!$G48,0)))</f>
        <v>0</v>
      </c>
      <c r="W32" s="249">
        <f>IF('0 Úvod'!$J$16&gt;'2 ZH'!W$21,0,IF(W$21-'0 Úvod'!$J$16&gt;='2 ZH'!$E48,0,IF('0 Úvod'!$G$18+'0 Úvod'!$J$18&gt;'2 ZH'!W$21,'2 ZH'!$G48,0)))</f>
        <v>0</v>
      </c>
      <c r="X32" s="249">
        <f>IF('0 Úvod'!$J$16&gt;'2 ZH'!X$21,0,IF(X$21-'0 Úvod'!$J$16&gt;='2 ZH'!$E48,0,IF('0 Úvod'!$G$18+'0 Úvod'!$J$18&gt;'2 ZH'!X$21,'2 ZH'!$G48,0)))</f>
        <v>0</v>
      </c>
      <c r="Y32" s="249">
        <f>IF('0 Úvod'!$J$16&gt;'2 ZH'!Y$21,0,IF(Y$21-'0 Úvod'!$J$16&gt;='2 ZH'!$E48,0,IF('0 Úvod'!$G$18+'0 Úvod'!$J$18&gt;'2 ZH'!Y$21,'2 ZH'!$G48,0)))</f>
        <v>0</v>
      </c>
      <c r="Z32" s="249">
        <f>IF('0 Úvod'!$J$16&gt;'2 ZH'!Z$21,0,IF(Z$21-'0 Úvod'!$J$16&gt;='2 ZH'!$E48,0,IF('0 Úvod'!$G$18+'0 Úvod'!$J$18&gt;'2 ZH'!Z$21,'2 ZH'!$G48,0)))</f>
        <v>0</v>
      </c>
      <c r="AA32" s="249">
        <f>IF('0 Úvod'!$J$16&gt;'2 ZH'!AA$21,0,IF(AA$21-'0 Úvod'!$J$16&gt;='2 ZH'!$E48,0,IF('0 Úvod'!$G$18+'0 Úvod'!$J$18&gt;'2 ZH'!AA$21,'2 ZH'!$G48,0)))</f>
        <v>0</v>
      </c>
      <c r="AB32" s="249">
        <f>IF('0 Úvod'!$J$16&gt;'2 ZH'!AB$21,0,IF(AB$21-'0 Úvod'!$J$16&gt;='2 ZH'!$E48,0,IF('0 Úvod'!$G$18+'0 Úvod'!$J$18&gt;'2 ZH'!AB$21,'2 ZH'!$G48,0)))</f>
        <v>0</v>
      </c>
      <c r="AC32" s="255">
        <f>IF('0 Úvod'!$J$16&gt;'2 ZH'!AC$21,0,IF(AC$21-'0 Úvod'!$J$16&gt;='2 ZH'!$E48,0,IF('0 Úvod'!$G$18+'0 Úvod'!$J$18&gt;'2 ZH'!AC$21,'2 ZH'!$G48,0)))</f>
        <v>0</v>
      </c>
    </row>
    <row r="33" spans="2:29" ht="12">
      <c r="B33" s="664"/>
      <c r="C33" s="642" t="str">
        <f t="shared" si="6"/>
        <v>Úpravy vodního toku a terénní úpravy</v>
      </c>
      <c r="D33" s="672"/>
      <c r="E33" s="260">
        <f>IF('0 Úvod'!$J$16&gt;'2 ZH'!E$21,0,IF(E$21-'0 Úvod'!$J$16&gt;='2 ZH'!$E49,0,IF('0 Úvod'!$G$18+'0 Úvod'!$J$18&gt;'2 ZH'!E$21,'2 ZH'!$G49,0)))</f>
        <v>0</v>
      </c>
      <c r="F33" s="249">
        <f>IF('0 Úvod'!$J$16&gt;'2 ZH'!F$21,0,IF(F$21-'0 Úvod'!$J$16&gt;='2 ZH'!$E49,0,IF('0 Úvod'!$G$18+'0 Úvod'!$J$18&gt;'2 ZH'!F$21,'2 ZH'!$G49,0)))</f>
        <v>0</v>
      </c>
      <c r="G33" s="249">
        <f>IF('0 Úvod'!$J$16&gt;'2 ZH'!G$21,0,IF(G$21-'0 Úvod'!$J$16&gt;='2 ZH'!$E49,0,IF('0 Úvod'!$G$18+'0 Úvod'!$J$18&gt;'2 ZH'!G$21,'2 ZH'!$G49,0)))</f>
        <v>0</v>
      </c>
      <c r="H33" s="249">
        <f>IF('0 Úvod'!$J$16&gt;'2 ZH'!H$21,0,IF(H$21-'0 Úvod'!$J$16&gt;='2 ZH'!$E49,0,IF('0 Úvod'!$G$18+'0 Úvod'!$J$18&gt;'2 ZH'!H$21,'2 ZH'!$G49,0)))</f>
        <v>0</v>
      </c>
      <c r="I33" s="249">
        <f>IF('0 Úvod'!$J$16&gt;'2 ZH'!I$21,0,IF(I$21-'0 Úvod'!$J$16&gt;='2 ZH'!$E49,0,IF('0 Úvod'!$G$18+'0 Úvod'!$J$18&gt;'2 ZH'!I$21,'2 ZH'!$G49,0)))</f>
        <v>0</v>
      </c>
      <c r="J33" s="249">
        <f>IF('0 Úvod'!$J$16&gt;'2 ZH'!J$21,0,IF(J$21-'0 Úvod'!$J$16&gt;='2 ZH'!$E49,0,IF('0 Úvod'!$G$18+'0 Úvod'!$J$18&gt;'2 ZH'!J$21,'2 ZH'!$G49,0)))</f>
        <v>0</v>
      </c>
      <c r="K33" s="249">
        <f>IF('0 Úvod'!$J$16&gt;'2 ZH'!K$21,0,IF(K$21-'0 Úvod'!$J$16&gt;='2 ZH'!$E49,0,IF('0 Úvod'!$G$18+'0 Úvod'!$J$18&gt;'2 ZH'!K$21,'2 ZH'!$G49,0)))</f>
        <v>0</v>
      </c>
      <c r="L33" s="249">
        <f>IF('0 Úvod'!$J$16&gt;'2 ZH'!L$21,0,IF(L$21-'0 Úvod'!$J$16&gt;='2 ZH'!$E49,0,IF('0 Úvod'!$G$18+'0 Úvod'!$J$18&gt;'2 ZH'!L$21,'2 ZH'!$G49,0)))</f>
        <v>0</v>
      </c>
      <c r="M33" s="249">
        <f>IF('0 Úvod'!$J$16&gt;'2 ZH'!M$21,0,IF(M$21-'0 Úvod'!$J$16&gt;='2 ZH'!$E49,0,IF('0 Úvod'!$G$18+'0 Úvod'!$J$18&gt;'2 ZH'!M$21,'2 ZH'!$G49,0)))</f>
        <v>0</v>
      </c>
      <c r="N33" s="249">
        <f>IF('0 Úvod'!$J$16&gt;'2 ZH'!N$21,0,IF(N$21-'0 Úvod'!$J$16&gt;='2 ZH'!$E49,0,IF('0 Úvod'!$G$18+'0 Úvod'!$J$18&gt;'2 ZH'!N$21,'2 ZH'!$G49,0)))</f>
        <v>0</v>
      </c>
      <c r="O33" s="249">
        <f>IF('0 Úvod'!$J$16&gt;'2 ZH'!O$21,0,IF(O$21-'0 Úvod'!$J$16&gt;='2 ZH'!$E49,0,IF('0 Úvod'!$G$18+'0 Úvod'!$J$18&gt;'2 ZH'!O$21,'2 ZH'!$G49,0)))</f>
        <v>0</v>
      </c>
      <c r="P33" s="249">
        <f>IF('0 Úvod'!$J$16&gt;'2 ZH'!P$21,0,IF(P$21-'0 Úvod'!$J$16&gt;='2 ZH'!$E49,0,IF('0 Úvod'!$G$18+'0 Úvod'!$J$18&gt;'2 ZH'!P$21,'2 ZH'!$G49,0)))</f>
        <v>0</v>
      </c>
      <c r="Q33" s="249">
        <f>IF('0 Úvod'!$J$16&gt;'2 ZH'!Q$21,0,IF(Q$21-'0 Úvod'!$J$16&gt;='2 ZH'!$E49,0,IF('0 Úvod'!$G$18+'0 Úvod'!$J$18&gt;'2 ZH'!Q$21,'2 ZH'!$G49,0)))</f>
        <v>0</v>
      </c>
      <c r="R33" s="249">
        <f>IF('0 Úvod'!$J$16&gt;'2 ZH'!R$21,0,IF(R$21-'0 Úvod'!$J$16&gt;='2 ZH'!$E49,0,IF('0 Úvod'!$G$18+'0 Úvod'!$J$18&gt;'2 ZH'!R$21,'2 ZH'!$G49,0)))</f>
        <v>0</v>
      </c>
      <c r="S33" s="249">
        <f>IF('0 Úvod'!$J$16&gt;'2 ZH'!S$21,0,IF(S$21-'0 Úvod'!$J$16&gt;='2 ZH'!$E49,0,IF('0 Úvod'!$G$18+'0 Úvod'!$J$18&gt;'2 ZH'!S$21,'2 ZH'!$G49,0)))</f>
        <v>0</v>
      </c>
      <c r="T33" s="249">
        <f>IF('0 Úvod'!$J$16&gt;'2 ZH'!T$21,0,IF(T$21-'0 Úvod'!$J$16&gt;='2 ZH'!$E49,0,IF('0 Úvod'!$G$18+'0 Úvod'!$J$18&gt;'2 ZH'!T$21,'2 ZH'!$G49,0)))</f>
        <v>0</v>
      </c>
      <c r="U33" s="249">
        <f>IF('0 Úvod'!$J$16&gt;'2 ZH'!U$21,0,IF(U$21-'0 Úvod'!$J$16&gt;='2 ZH'!$E49,0,IF('0 Úvod'!$G$18+'0 Úvod'!$J$18&gt;'2 ZH'!U$21,'2 ZH'!$G49,0)))</f>
        <v>0</v>
      </c>
      <c r="V33" s="249">
        <f>IF('0 Úvod'!$J$16&gt;'2 ZH'!V$21,0,IF(V$21-'0 Úvod'!$J$16&gt;='2 ZH'!$E49,0,IF('0 Úvod'!$G$18+'0 Úvod'!$J$18&gt;'2 ZH'!V$21,'2 ZH'!$G49,0)))</f>
        <v>0</v>
      </c>
      <c r="W33" s="249">
        <f>IF('0 Úvod'!$J$16&gt;'2 ZH'!W$21,0,IF(W$21-'0 Úvod'!$J$16&gt;='2 ZH'!$E49,0,IF('0 Úvod'!$G$18+'0 Úvod'!$J$18&gt;'2 ZH'!W$21,'2 ZH'!$G49,0)))</f>
        <v>0</v>
      </c>
      <c r="X33" s="249">
        <f>IF('0 Úvod'!$J$16&gt;'2 ZH'!X$21,0,IF(X$21-'0 Úvod'!$J$16&gt;='2 ZH'!$E49,0,IF('0 Úvod'!$G$18+'0 Úvod'!$J$18&gt;'2 ZH'!X$21,'2 ZH'!$G49,0)))</f>
        <v>0</v>
      </c>
      <c r="Y33" s="249">
        <f>IF('0 Úvod'!$J$16&gt;'2 ZH'!Y$21,0,IF(Y$21-'0 Úvod'!$J$16&gt;='2 ZH'!$E49,0,IF('0 Úvod'!$G$18+'0 Úvod'!$J$18&gt;'2 ZH'!Y$21,'2 ZH'!$G49,0)))</f>
        <v>0</v>
      </c>
      <c r="Z33" s="249">
        <f>IF('0 Úvod'!$J$16&gt;'2 ZH'!Z$21,0,IF(Z$21-'0 Úvod'!$J$16&gt;='2 ZH'!$E49,0,IF('0 Úvod'!$G$18+'0 Úvod'!$J$18&gt;'2 ZH'!Z$21,'2 ZH'!$G49,0)))</f>
        <v>0</v>
      </c>
      <c r="AA33" s="249">
        <f>IF('0 Úvod'!$J$16&gt;'2 ZH'!AA$21,0,IF(AA$21-'0 Úvod'!$J$16&gt;='2 ZH'!$E49,0,IF('0 Úvod'!$G$18+'0 Úvod'!$J$18&gt;'2 ZH'!AA$21,'2 ZH'!$G49,0)))</f>
        <v>0</v>
      </c>
      <c r="AB33" s="249">
        <f>IF('0 Úvod'!$J$16&gt;'2 ZH'!AB$21,0,IF(AB$21-'0 Úvod'!$J$16&gt;='2 ZH'!$E49,0,IF('0 Úvod'!$G$18+'0 Úvod'!$J$18&gt;'2 ZH'!AB$21,'2 ZH'!$G49,0)))</f>
        <v>0</v>
      </c>
      <c r="AC33" s="255">
        <f>IF('0 Úvod'!$J$16&gt;'2 ZH'!AC$21,0,IF(AC$21-'0 Úvod'!$J$16&gt;='2 ZH'!$E49,0,IF('0 Úvod'!$G$18+'0 Úvod'!$J$18&gt;'2 ZH'!AC$21,'2 ZH'!$G49,0)))</f>
        <v>0</v>
      </c>
    </row>
    <row r="34" spans="2:29" ht="12">
      <c r="B34" s="665"/>
      <c r="C34" s="673" t="str">
        <f>C16</f>
        <v>Ochrana životního prostředí</v>
      </c>
      <c r="D34" s="674"/>
      <c r="E34" s="261">
        <f>IF('0 Úvod'!$J$16&gt;'2 ZH'!E$21,0,IF(E$21-'0 Úvod'!$J$16&gt;='2 ZH'!$E50,0,IF('0 Úvod'!$G$18+'0 Úvod'!$J$18&gt;'2 ZH'!E$21,'2 ZH'!$G50,0)))</f>
        <v>0</v>
      </c>
      <c r="F34" s="251">
        <f>IF('0 Úvod'!$J$16&gt;'2 ZH'!F$21,0,IF(F$21-'0 Úvod'!$J$16&gt;='2 ZH'!$E50,0,IF('0 Úvod'!$G$18+'0 Úvod'!$J$18&gt;'2 ZH'!F$21,'2 ZH'!$G50,0)))</f>
        <v>0</v>
      </c>
      <c r="G34" s="251">
        <f>IF('0 Úvod'!$J$16&gt;'2 ZH'!G$21,0,IF(G$21-'0 Úvod'!$J$16&gt;='2 ZH'!$E50,0,IF('0 Úvod'!$G$18+'0 Úvod'!$J$18&gt;'2 ZH'!G$21,'2 ZH'!$G50,0)))</f>
        <v>0</v>
      </c>
      <c r="H34" s="251">
        <f>IF('0 Úvod'!$J$16&gt;'2 ZH'!H$21,0,IF(H$21-'0 Úvod'!$J$16&gt;='2 ZH'!$E50,0,IF('0 Úvod'!$G$18+'0 Úvod'!$J$18&gt;'2 ZH'!H$21,'2 ZH'!$G50,0)))</f>
        <v>0</v>
      </c>
      <c r="I34" s="251">
        <f>IF('0 Úvod'!$J$16&gt;'2 ZH'!I$21,0,IF(I$21-'0 Úvod'!$J$16&gt;='2 ZH'!$E50,0,IF('0 Úvod'!$G$18+'0 Úvod'!$J$18&gt;'2 ZH'!I$21,'2 ZH'!$G50,0)))</f>
        <v>0</v>
      </c>
      <c r="J34" s="251">
        <f>IF('0 Úvod'!$J$16&gt;'2 ZH'!J$21,0,IF(J$21-'0 Úvod'!$J$16&gt;='2 ZH'!$E50,0,IF('0 Úvod'!$G$18+'0 Úvod'!$J$18&gt;'2 ZH'!J$21,'2 ZH'!$G50,0)))</f>
        <v>0</v>
      </c>
      <c r="K34" s="251">
        <f>IF('0 Úvod'!$J$16&gt;'2 ZH'!K$21,0,IF(K$21-'0 Úvod'!$J$16&gt;='2 ZH'!$E50,0,IF('0 Úvod'!$G$18+'0 Úvod'!$J$18&gt;'2 ZH'!K$21,'2 ZH'!$G50,0)))</f>
        <v>0</v>
      </c>
      <c r="L34" s="251">
        <f>IF('0 Úvod'!$J$16&gt;'2 ZH'!L$21,0,IF(L$21-'0 Úvod'!$J$16&gt;='2 ZH'!$E50,0,IF('0 Úvod'!$G$18+'0 Úvod'!$J$18&gt;'2 ZH'!L$21,'2 ZH'!$G50,0)))</f>
        <v>0</v>
      </c>
      <c r="M34" s="251">
        <f>IF('0 Úvod'!$J$16&gt;'2 ZH'!M$21,0,IF(M$21-'0 Úvod'!$J$16&gt;='2 ZH'!$E50,0,IF('0 Úvod'!$G$18+'0 Úvod'!$J$18&gt;'2 ZH'!M$21,'2 ZH'!$G50,0)))</f>
        <v>0</v>
      </c>
      <c r="N34" s="251">
        <f>IF('0 Úvod'!$J$16&gt;'2 ZH'!N$21,0,IF(N$21-'0 Úvod'!$J$16&gt;='2 ZH'!$E50,0,IF('0 Úvod'!$G$18+'0 Úvod'!$J$18&gt;'2 ZH'!N$21,'2 ZH'!$G50,0)))</f>
        <v>0</v>
      </c>
      <c r="O34" s="251">
        <f>IF('0 Úvod'!$J$16&gt;'2 ZH'!O$21,0,IF(O$21-'0 Úvod'!$J$16&gt;='2 ZH'!$E50,0,IF('0 Úvod'!$G$18+'0 Úvod'!$J$18&gt;'2 ZH'!O$21,'2 ZH'!$G50,0)))</f>
        <v>0</v>
      </c>
      <c r="P34" s="251">
        <f>IF('0 Úvod'!$J$16&gt;'2 ZH'!P$21,0,IF(P$21-'0 Úvod'!$J$16&gt;='2 ZH'!$E50,0,IF('0 Úvod'!$G$18+'0 Úvod'!$J$18&gt;'2 ZH'!P$21,'2 ZH'!$G50,0)))</f>
        <v>0</v>
      </c>
      <c r="Q34" s="251">
        <f>IF('0 Úvod'!$J$16&gt;'2 ZH'!Q$21,0,IF(Q$21-'0 Úvod'!$J$16&gt;='2 ZH'!$E50,0,IF('0 Úvod'!$G$18+'0 Úvod'!$J$18&gt;'2 ZH'!Q$21,'2 ZH'!$G50,0)))</f>
        <v>0</v>
      </c>
      <c r="R34" s="251">
        <f>IF('0 Úvod'!$J$16&gt;'2 ZH'!R$21,0,IF(R$21-'0 Úvod'!$J$16&gt;='2 ZH'!$E50,0,IF('0 Úvod'!$G$18+'0 Úvod'!$J$18&gt;'2 ZH'!R$21,'2 ZH'!$G50,0)))</f>
        <v>0</v>
      </c>
      <c r="S34" s="251">
        <f>IF('0 Úvod'!$J$16&gt;'2 ZH'!S$21,0,IF(S$21-'0 Úvod'!$J$16&gt;='2 ZH'!$E50,0,IF('0 Úvod'!$G$18+'0 Úvod'!$J$18&gt;'2 ZH'!S$21,'2 ZH'!$G50,0)))</f>
        <v>0</v>
      </c>
      <c r="T34" s="251">
        <f>IF('0 Úvod'!$J$16&gt;'2 ZH'!T$21,0,IF(T$21-'0 Úvod'!$J$16&gt;='2 ZH'!$E50,0,IF('0 Úvod'!$G$18+'0 Úvod'!$J$18&gt;'2 ZH'!T$21,'2 ZH'!$G50,0)))</f>
        <v>0</v>
      </c>
      <c r="U34" s="251">
        <f>IF('0 Úvod'!$J$16&gt;'2 ZH'!U$21,0,IF(U$21-'0 Úvod'!$J$16&gt;='2 ZH'!$E50,0,IF('0 Úvod'!$G$18+'0 Úvod'!$J$18&gt;'2 ZH'!U$21,'2 ZH'!$G50,0)))</f>
        <v>0</v>
      </c>
      <c r="V34" s="251">
        <f>IF('0 Úvod'!$J$16&gt;'2 ZH'!V$21,0,IF(V$21-'0 Úvod'!$J$16&gt;='2 ZH'!$E50,0,IF('0 Úvod'!$G$18+'0 Úvod'!$J$18&gt;'2 ZH'!V$21,'2 ZH'!$G50,0)))</f>
        <v>0</v>
      </c>
      <c r="W34" s="251">
        <f>IF('0 Úvod'!$J$16&gt;'2 ZH'!W$21,0,IF(W$21-'0 Úvod'!$J$16&gt;='2 ZH'!$E50,0,IF('0 Úvod'!$G$18+'0 Úvod'!$J$18&gt;'2 ZH'!W$21,'2 ZH'!$G50,0)))</f>
        <v>0</v>
      </c>
      <c r="X34" s="251">
        <f>IF('0 Úvod'!$J$16&gt;'2 ZH'!X$21,0,IF(X$21-'0 Úvod'!$J$16&gt;='2 ZH'!$E50,0,IF('0 Úvod'!$G$18+'0 Úvod'!$J$18&gt;'2 ZH'!X$21,'2 ZH'!$G50,0)))</f>
        <v>0</v>
      </c>
      <c r="Y34" s="251">
        <f>IF('0 Úvod'!$J$16&gt;'2 ZH'!Y$21,0,IF(Y$21-'0 Úvod'!$J$16&gt;='2 ZH'!$E50,0,IF('0 Úvod'!$G$18+'0 Úvod'!$J$18&gt;'2 ZH'!Y$21,'2 ZH'!$G50,0)))</f>
        <v>0</v>
      </c>
      <c r="Z34" s="251">
        <f>IF('0 Úvod'!$J$16&gt;'2 ZH'!Z$21,0,IF(Z$21-'0 Úvod'!$J$16&gt;='2 ZH'!$E50,0,IF('0 Úvod'!$G$18+'0 Úvod'!$J$18&gt;'2 ZH'!Z$21,'2 ZH'!$G50,0)))</f>
        <v>0</v>
      </c>
      <c r="AA34" s="251">
        <f>IF('0 Úvod'!$J$16&gt;'2 ZH'!AA$21,0,IF(AA$21-'0 Úvod'!$J$16&gt;='2 ZH'!$E50,0,IF('0 Úvod'!$G$18+'0 Úvod'!$J$18&gt;'2 ZH'!AA$21,'2 ZH'!$G50,0)))</f>
        <v>0</v>
      </c>
      <c r="AB34" s="251">
        <f>IF('0 Úvod'!$J$16&gt;'2 ZH'!AB$21,0,IF(AB$21-'0 Úvod'!$J$16&gt;='2 ZH'!$E50,0,IF('0 Úvod'!$G$18+'0 Úvod'!$J$18&gt;'2 ZH'!AB$21,'2 ZH'!$G50,0)))</f>
        <v>0</v>
      </c>
      <c r="AC34" s="256">
        <f>IF('0 Úvod'!$J$16&gt;'2 ZH'!AC$21,0,IF(AC$21-'0 Úvod'!$J$16&gt;='2 ZH'!$E50,0,IF('0 Úvod'!$G$18+'0 Úvod'!$J$18&gt;'2 ZH'!AC$21,'2 ZH'!$G50,0)))</f>
        <v>0</v>
      </c>
    </row>
    <row r="35" spans="2:29" ht="12.75" thickBot="1">
      <c r="B35" s="667"/>
      <c r="C35" s="651" t="str">
        <f>C17</f>
        <v>Výše ročního odpisu</v>
      </c>
      <c r="D35" s="675"/>
      <c r="E35" s="262">
        <f>IF(E21&lt;='0 Úvod'!$G$18+'0 Úvod'!$J$18,SUM(E24:E34),0)</f>
        <v>0</v>
      </c>
      <c r="F35" s="257">
        <f>IF(F21&lt;='0 Úvod'!$G$18+'0 Úvod'!$J$18,SUM(F24:F34),0)</f>
        <v>0</v>
      </c>
      <c r="G35" s="257">
        <f>IF(G21&lt;='0 Úvod'!$G$18+'0 Úvod'!$J$18,SUM(G24:G34),0)</f>
        <v>0</v>
      </c>
      <c r="H35" s="257">
        <f>IF(H21&lt;='0 Úvod'!$G$18+'0 Úvod'!$J$18,SUM(H24:H34),0)</f>
        <v>0</v>
      </c>
      <c r="I35" s="257">
        <f>IF(I21&lt;='0 Úvod'!$G$18+'0 Úvod'!$J$18,SUM(I24:I34),0)</f>
        <v>0</v>
      </c>
      <c r="J35" s="257">
        <f>IF(J21&lt;='0 Úvod'!$G$18+'0 Úvod'!$J$18,SUM(J24:J34),0)</f>
        <v>0</v>
      </c>
      <c r="K35" s="257">
        <f>IF(K21&lt;='0 Úvod'!$G$18+'0 Úvod'!$J$18,SUM(K24:K34),0)</f>
        <v>0</v>
      </c>
      <c r="L35" s="257">
        <f>IF(L21&lt;='0 Úvod'!$G$18+'0 Úvod'!$J$18,SUM(L24:L34),0)</f>
        <v>0</v>
      </c>
      <c r="M35" s="257">
        <f>IF(M21&lt;='0 Úvod'!$G$18+'0 Úvod'!$J$18,SUM(M24:M34),0)</f>
        <v>0</v>
      </c>
      <c r="N35" s="257">
        <f>IF(N21&lt;='0 Úvod'!$G$18+'0 Úvod'!$J$18,SUM(N24:N34),0)</f>
        <v>0</v>
      </c>
      <c r="O35" s="257">
        <f>IF(O21&lt;='0 Úvod'!$G$18+'0 Úvod'!$J$18,SUM(O24:O34),0)</f>
        <v>0</v>
      </c>
      <c r="P35" s="257">
        <f>IF(P21&lt;='0 Úvod'!$G$18+'0 Úvod'!$J$18,SUM(P24:P34),0)</f>
        <v>0</v>
      </c>
      <c r="Q35" s="257">
        <f>IF(Q21&lt;='0 Úvod'!$G$18+'0 Úvod'!$J$18,SUM(Q24:Q34),0)</f>
        <v>0</v>
      </c>
      <c r="R35" s="257">
        <f>IF(R21&lt;='0 Úvod'!$G$18+'0 Úvod'!$J$18,SUM(R24:R34),0)</f>
        <v>0</v>
      </c>
      <c r="S35" s="257">
        <f>IF(S21&lt;='0 Úvod'!$G$18+'0 Úvod'!$J$18,SUM(S24:S34),0)</f>
        <v>0</v>
      </c>
      <c r="T35" s="257">
        <f>IF(T21&lt;='0 Úvod'!$G$18+'0 Úvod'!$J$18,SUM(T24:T34),0)</f>
        <v>0</v>
      </c>
      <c r="U35" s="257">
        <f>IF(U21&lt;='0 Úvod'!$G$18+'0 Úvod'!$J$18,SUM(U24:U34),0)</f>
        <v>0</v>
      </c>
      <c r="V35" s="257">
        <f>IF(V21&lt;='0 Úvod'!$G$18+'0 Úvod'!$J$18,SUM(V24:V34),0)</f>
        <v>0</v>
      </c>
      <c r="W35" s="257">
        <f>IF(W21&lt;='0 Úvod'!$G$18+'0 Úvod'!$J$18,SUM(W24:W34),0)</f>
        <v>0</v>
      </c>
      <c r="X35" s="257">
        <f>IF(X21&lt;='0 Úvod'!$G$18+'0 Úvod'!$J$18,SUM(X24:X34),0)</f>
        <v>0</v>
      </c>
      <c r="Y35" s="257">
        <f>IF(Y21&lt;='0 Úvod'!$G$18+'0 Úvod'!$J$18,SUM(Y24:Y34),0)</f>
        <v>0</v>
      </c>
      <c r="Z35" s="257">
        <f>IF(Z21&lt;='0 Úvod'!$G$18+'0 Úvod'!$J$18,SUM(Z24:Z34),0)</f>
        <v>0</v>
      </c>
      <c r="AA35" s="257">
        <f>IF(AA21&lt;='0 Úvod'!$G$18+'0 Úvod'!$J$18,SUM(AA24:AA34),0)</f>
        <v>0</v>
      </c>
      <c r="AB35" s="257">
        <f>IF(AB21&lt;='0 Úvod'!$G$18+'0 Úvod'!$J$18,SUM(AB24:AB34),0)</f>
        <v>0</v>
      </c>
      <c r="AC35" s="258">
        <f>IF(AC21&lt;='0 Úvod'!$G$18+'0 Úvod'!$J$18,SUM(AC24:AC34),0)</f>
        <v>0</v>
      </c>
    </row>
    <row r="36" spans="2:29" ht="12.75" thickBot="1">
      <c r="B36" s="667"/>
      <c r="C36" s="651" t="str">
        <f>C18</f>
        <v>Zbytková hodnota investice</v>
      </c>
      <c r="D36" s="676"/>
      <c r="E36" s="211">
        <f>IF(E21='0 Úvod'!$G$18+'0 Úvod'!$J$18-1,'2 ZH'!$D$18,0)</f>
        <v>0</v>
      </c>
      <c r="F36" s="211">
        <f>IF(F21='0 Úvod'!$G$18+'0 Úvod'!$J$18-1,'2 ZH'!$D$18,0)</f>
        <v>0</v>
      </c>
      <c r="G36" s="211">
        <f>IF(G21='0 Úvod'!$G$18+'0 Úvod'!$J$18-1,'2 ZH'!$D$18,0)</f>
        <v>0</v>
      </c>
      <c r="H36" s="211">
        <f>IF(H21='0 Úvod'!$G$18+'0 Úvod'!$J$18-1,'2 ZH'!$D$18,0)</f>
        <v>0</v>
      </c>
      <c r="I36" s="211">
        <f>IF(I21='0 Úvod'!$G$18+'0 Úvod'!$J$18-1,'2 ZH'!$D$18,0)</f>
        <v>0</v>
      </c>
      <c r="J36" s="211">
        <f>IF(J21='0 Úvod'!$G$18+'0 Úvod'!$J$18-1,'2 ZH'!$D$18,0)</f>
        <v>0</v>
      </c>
      <c r="K36" s="211">
        <f>IF(K21='0 Úvod'!$G$18+'0 Úvod'!$J$18-1,'2 ZH'!$D$18,0)</f>
        <v>0</v>
      </c>
      <c r="L36" s="211">
        <f>IF(L21='0 Úvod'!$G$18+'0 Úvod'!$J$18-1,'2 ZH'!$D$18,0)</f>
        <v>0</v>
      </c>
      <c r="M36" s="211">
        <f>IF(M21='0 Úvod'!$G$18+'0 Úvod'!$J$18-1,'2 ZH'!$D$18,0)</f>
        <v>0</v>
      </c>
      <c r="N36" s="211">
        <f>IF(N21='0 Úvod'!$G$18+'0 Úvod'!$J$18-1,'2 ZH'!$D$18,0)</f>
        <v>0</v>
      </c>
      <c r="O36" s="211">
        <f>IF(O21='0 Úvod'!$G$18+'0 Úvod'!$J$18-1,'2 ZH'!$D$18,0)</f>
        <v>0</v>
      </c>
      <c r="P36" s="211">
        <f>IF(P21='0 Úvod'!$G$18+'0 Úvod'!$J$18-1,'2 ZH'!$D$18,0)</f>
        <v>0</v>
      </c>
      <c r="Q36" s="211">
        <f>IF(Q21='0 Úvod'!$G$18+'0 Úvod'!$J$18-1,'2 ZH'!$D$18,0)</f>
        <v>0</v>
      </c>
      <c r="R36" s="211">
        <f>IF(R21='0 Úvod'!$G$18+'0 Úvod'!$J$18-1,'2 ZH'!$D$18,0)</f>
        <v>0</v>
      </c>
      <c r="S36" s="211">
        <f>IF(S21='0 Úvod'!$G$18+'0 Úvod'!$J$18-1,'2 ZH'!$D$18,0)</f>
        <v>0</v>
      </c>
      <c r="T36" s="211">
        <f>IF(T21='0 Úvod'!$G$18+'0 Úvod'!$J$18-1,'2 ZH'!$D$18,0)</f>
        <v>0</v>
      </c>
      <c r="U36" s="211">
        <f>IF(U21='0 Úvod'!$G$18+'0 Úvod'!$J$18-1,'2 ZH'!$D$18,0)</f>
        <v>0</v>
      </c>
      <c r="V36" s="211">
        <f>IF(V21='0 Úvod'!$G$18+'0 Úvod'!$J$18-1,'2 ZH'!$D$18,0)</f>
        <v>0</v>
      </c>
      <c r="W36" s="211">
        <f>IF(W21='0 Úvod'!$G$18+'0 Úvod'!$J$18-1,'2 ZH'!$D$18,0)</f>
        <v>0</v>
      </c>
      <c r="X36" s="211">
        <f>IF(X21='0 Úvod'!$G$18+'0 Úvod'!$J$18-1,'2 ZH'!$D$18,0)</f>
        <v>0</v>
      </c>
      <c r="Y36" s="211">
        <f>IF(Y21='0 Úvod'!$G$18+'0 Úvod'!$J$18-1,'2 ZH'!$D$18,0)</f>
        <v>0</v>
      </c>
      <c r="Z36" s="211">
        <f>IF(Z21='0 Úvod'!$G$18+'0 Úvod'!$J$18-1,'2 ZH'!$D$18,0)</f>
        <v>0</v>
      </c>
      <c r="AA36" s="211">
        <f>IF(AA21='0 Úvod'!$G$18+'0 Úvod'!$J$18-1,'2 ZH'!$D$18,0)</f>
        <v>0</v>
      </c>
      <c r="AB36" s="211">
        <f>IF(AB21='0 Úvod'!$G$18+'0 Úvod'!$J$18-1,'2 ZH'!$D$18,0)</f>
        <v>0</v>
      </c>
      <c r="AC36" s="212">
        <f>IF(AC21='0 Úvod'!$G$18+'0 Úvod'!$J$18-1,'2 ZH'!$D$18,0)</f>
        <v>0</v>
      </c>
    </row>
    <row r="37" spans="1:29" ht="11.25">
      <c r="A37" s="200"/>
      <c r="B37" s="135"/>
      <c r="C37" s="134"/>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row>
    <row r="38" spans="2:19" s="200" customFormat="1" ht="12" thickBot="1">
      <c r="B38" s="135"/>
      <c r="D38" s="219"/>
      <c r="E38" s="214"/>
      <c r="F38" s="214"/>
      <c r="G38" s="214"/>
      <c r="H38" s="214"/>
      <c r="I38" s="214"/>
      <c r="J38" s="214"/>
      <c r="K38" s="214"/>
      <c r="L38" s="274"/>
      <c r="M38" s="274"/>
      <c r="N38" s="274"/>
      <c r="O38" s="274"/>
      <c r="P38" s="274"/>
      <c r="Q38" s="214"/>
      <c r="R38" s="214"/>
      <c r="S38" s="214"/>
    </row>
    <row r="39" spans="2:19" s="200" customFormat="1" ht="25.5" customHeight="1" thickBot="1">
      <c r="B39" s="328" t="s">
        <v>27</v>
      </c>
      <c r="C39" s="329" t="str">
        <f>IF('0 Úvod'!$M$3="English",Slovnik!D107,Slovnik!C107)</f>
        <v>Odpis</v>
      </c>
      <c r="D39" s="997" t="str">
        <f>IF('0 Úvod'!$M$3="English",Slovnik!D108,Slovnik!C108)</f>
        <v>Celkové investiční náklady</v>
      </c>
      <c r="E39" s="995" t="str">
        <f>IF('0 Úvod'!$M$3="English",Slovnik!D109,Slovnik!C109)</f>
        <v>Životnost</v>
      </c>
      <c r="F39" s="996" t="str">
        <f>IF('0 Úvod'!$M$3="English",Slovnik!D110,Slovnik!C110)</f>
        <v>Náklady (CZK)</v>
      </c>
      <c r="G39" s="997" t="str">
        <f>IF('0 Úvod'!$M$3="English",Slovnik!D111,Slovnik!C111)</f>
        <v>Roční Odpis</v>
      </c>
      <c r="H39" s="267"/>
      <c r="J39" s="286" t="s">
        <v>28</v>
      </c>
      <c r="K39" s="287" t="str">
        <f>IF('0 Úvod'!$M$3="English",Slovnik!D103,Slovnik!C103)</f>
        <v>Diskont. zbytková hodnota investic pro EA</v>
      </c>
      <c r="L39" s="288"/>
      <c r="M39" s="295"/>
      <c r="N39" s="296"/>
      <c r="O39" s="1297">
        <f>D18*'10a Ekonomická analýza'!E12*(1/(1+'0 Úvod'!D18)^('0 Úvod'!J18-1))</f>
        <v>0</v>
      </c>
      <c r="P39" s="1298"/>
      <c r="Q39" s="214"/>
      <c r="R39" s="214"/>
      <c r="S39" s="214"/>
    </row>
    <row r="40" spans="2:19" s="200" customFormat="1" ht="13.5" customHeight="1" thickBot="1">
      <c r="B40" s="677"/>
      <c r="C40" s="682" t="str">
        <f>IF('0 Úvod'!$M$3="English",Slovnik!D89,Slovnik!C89)</f>
        <v>Přístavní zdi</v>
      </c>
      <c r="D40" s="1213" t="e">
        <f>F40*(('1 CIN'!$F$10-$F$51)/$F$52)</f>
        <v>#DIV/0!</v>
      </c>
      <c r="E40" s="998">
        <v>30</v>
      </c>
      <c r="F40" s="1154"/>
      <c r="G40" s="264" t="e">
        <f>D40/E40</f>
        <v>#DIV/0!</v>
      </c>
      <c r="H40" s="266" t="e">
        <f>D40-D6</f>
        <v>#DIV/0!</v>
      </c>
      <c r="I40" s="283"/>
      <c r="J40" s="135"/>
      <c r="K40" s="131" t="str">
        <f>IF('0 Úvod'!$M$3="English",Slovnik!D104,Slovnik!C104)</f>
        <v>Diskontovaná zbytková hodnota investic v EUR</v>
      </c>
      <c r="L40" s="292"/>
      <c r="M40" s="292"/>
      <c r="N40" s="268"/>
      <c r="O40" s="1299">
        <f>O39/'0 Úvod'!N16</f>
        <v>0</v>
      </c>
      <c r="P40" s="1300"/>
      <c r="Q40" s="214"/>
      <c r="R40" s="214"/>
      <c r="S40" s="214"/>
    </row>
    <row r="41" spans="2:19" s="200" customFormat="1" ht="12.75" thickBot="1">
      <c r="B41" s="678"/>
      <c r="C41" s="642" t="str">
        <f>IF('0 Úvod'!$M$3="English",Slovnik!D90,Slovnik!C90)</f>
        <v>Hrubé hydrotechnické konstrukce *</v>
      </c>
      <c r="D41" s="1214" t="e">
        <f>F41*(('1 CIN'!$F$10-$F$51)/$F$52)</f>
        <v>#DIV/0!</v>
      </c>
      <c r="E41" s="999">
        <v>80</v>
      </c>
      <c r="F41" s="1155"/>
      <c r="G41" s="265" t="e">
        <f>D41/E41</f>
        <v>#DIV/0!</v>
      </c>
      <c r="H41" s="266" t="e">
        <f aca="true" t="shared" si="7" ref="H41:H50">D41-D7</f>
        <v>#DIV/0!</v>
      </c>
      <c r="I41" s="214"/>
      <c r="J41" s="289"/>
      <c r="K41" s="289"/>
      <c r="L41" s="214"/>
      <c r="M41" s="214"/>
      <c r="N41" s="214"/>
      <c r="O41" s="214"/>
      <c r="P41" s="214"/>
      <c r="Q41" s="214"/>
      <c r="R41" s="214"/>
      <c r="S41" s="214"/>
    </row>
    <row r="42" spans="2:19" s="200" customFormat="1" ht="13.5" thickBot="1">
      <c r="B42" s="678"/>
      <c r="C42" s="642" t="str">
        <f>IF('0 Úvod'!$M$3="English",Slovnik!D91,Slovnik!C91)</f>
        <v>Ocelové konstrukce **</v>
      </c>
      <c r="D42" s="1214" t="e">
        <f>F42*(('1 CIN'!$F$10-$F$51)/$F$52)</f>
        <v>#DIV/0!</v>
      </c>
      <c r="E42" s="999">
        <v>50</v>
      </c>
      <c r="F42" s="1155"/>
      <c r="G42" s="265" t="e">
        <f aca="true" t="shared" si="8" ref="G42:G50">D42/E42</f>
        <v>#DIV/0!</v>
      </c>
      <c r="H42" s="266" t="e">
        <f t="shared" si="7"/>
        <v>#DIV/0!</v>
      </c>
      <c r="I42" s="214"/>
      <c r="J42" s="285" t="s">
        <v>30</v>
      </c>
      <c r="K42" s="293" t="str">
        <f>IF('0 Úvod'!$M$3="English",Slovnik!D105,Slovnik!C105)</f>
        <v>Diskont. zbytková hodnota investic pro FA</v>
      </c>
      <c r="L42" s="294"/>
      <c r="M42" s="294"/>
      <c r="N42" s="290"/>
      <c r="O42" s="1297">
        <f>D18*(1/(1+'0 Úvod'!D18)^('0 Úvod'!J18-1))</f>
        <v>0</v>
      </c>
      <c r="P42" s="1298"/>
      <c r="Q42" s="214"/>
      <c r="R42" s="214"/>
      <c r="S42" s="214"/>
    </row>
    <row r="43" spans="2:19" s="200" customFormat="1" ht="12.75" thickBot="1">
      <c r="B43" s="678"/>
      <c r="C43" s="642" t="str">
        <f>IF('0 Úvod'!$M$3="English",Slovnik!D92,Slovnik!C92)</f>
        <v>Mosty, propustky, tunely a štoly</v>
      </c>
      <c r="D43" s="1214" t="e">
        <f>F43*(('1 CIN'!$F$10-$F$51)/$F$52)</f>
        <v>#DIV/0!</v>
      </c>
      <c r="E43" s="999">
        <v>50</v>
      </c>
      <c r="F43" s="1155"/>
      <c r="G43" s="265" t="e">
        <f t="shared" si="8"/>
        <v>#DIV/0!</v>
      </c>
      <c r="H43" s="266" t="e">
        <f t="shared" si="7"/>
        <v>#DIV/0!</v>
      </c>
      <c r="I43" s="284"/>
      <c r="J43" s="210"/>
      <c r="K43" s="291" t="str">
        <f>IF('0 Úvod'!$M$3="English",Slovnik!D106,Slovnik!C106)</f>
        <v>Diskontovaná zbytková hodnota investic v EUR</v>
      </c>
      <c r="L43" s="292"/>
      <c r="M43" s="292"/>
      <c r="N43" s="268"/>
      <c r="O43" s="1299">
        <f>IF(O42=0,0,O42/'0 Úvod'!N16)</f>
        <v>0</v>
      </c>
      <c r="P43" s="1300"/>
      <c r="Q43" s="214"/>
      <c r="R43" s="214"/>
      <c r="S43" s="214"/>
    </row>
    <row r="44" spans="2:19" s="200" customFormat="1" ht="12">
      <c r="B44" s="678"/>
      <c r="C44" s="642" t="str">
        <f>IF('0 Úvod'!$M$3="English",Slovnik!D93,Slovnik!C93)</f>
        <v>Pozemní stavby </v>
      </c>
      <c r="D44" s="1214" t="e">
        <f>F44*(('1 CIN'!$F$10-$F$51)/$F$52)</f>
        <v>#DIV/0!</v>
      </c>
      <c r="E44" s="999">
        <v>50</v>
      </c>
      <c r="F44" s="1155"/>
      <c r="G44" s="265" t="e">
        <f t="shared" si="8"/>
        <v>#DIV/0!</v>
      </c>
      <c r="H44" s="266" t="e">
        <f t="shared" si="7"/>
        <v>#DIV/0!</v>
      </c>
      <c r="I44" s="220"/>
      <c r="J44" s="220"/>
      <c r="K44" s="220"/>
      <c r="L44" s="214"/>
      <c r="M44" s="214"/>
      <c r="N44" s="214"/>
      <c r="O44" s="214"/>
      <c r="P44" s="214"/>
      <c r="Q44" s="214"/>
      <c r="R44" s="214"/>
      <c r="S44" s="214"/>
    </row>
    <row r="45" spans="2:19" s="200" customFormat="1" ht="12">
      <c r="B45" s="678"/>
      <c r="C45" s="642" t="str">
        <f>IF('0 Úvod'!$M$3="English",Slovnik!D94,Slovnik!C94)</f>
        <v>Komunikace a zpevněné plochy</v>
      </c>
      <c r="D45" s="1214" t="e">
        <f>F45*(('1 CIN'!$F$10-$F$51)/$F$52)</f>
        <v>#DIV/0!</v>
      </c>
      <c r="E45" s="999">
        <v>50</v>
      </c>
      <c r="F45" s="1155"/>
      <c r="G45" s="265" t="e">
        <f t="shared" si="8"/>
        <v>#DIV/0!</v>
      </c>
      <c r="H45" s="266" t="e">
        <f t="shared" si="7"/>
        <v>#DIV/0!</v>
      </c>
      <c r="I45" s="214"/>
      <c r="J45" s="214"/>
      <c r="K45" s="214"/>
      <c r="L45" s="214"/>
      <c r="M45" s="214"/>
      <c r="N45" s="214"/>
      <c r="O45" s="214"/>
      <c r="P45" s="214"/>
      <c r="Q45" s="214"/>
      <c r="R45" s="214"/>
      <c r="S45" s="214"/>
    </row>
    <row r="46" spans="2:19" s="200" customFormat="1" ht="12">
      <c r="B46" s="678"/>
      <c r="C46" s="642" t="str">
        <f>IF('0 Úvod'!$M$3="English",Slovnik!D95,Slovnik!C95)</f>
        <v>Silnoproudá instalace</v>
      </c>
      <c r="D46" s="1214" t="e">
        <f>F46*(('1 CIN'!$F$10-$F$51)/$F$52)</f>
        <v>#DIV/0!</v>
      </c>
      <c r="E46" s="999">
        <v>20</v>
      </c>
      <c r="F46" s="1155"/>
      <c r="G46" s="265" t="e">
        <f t="shared" si="8"/>
        <v>#DIV/0!</v>
      </c>
      <c r="H46" s="266" t="e">
        <f t="shared" si="7"/>
        <v>#DIV/0!</v>
      </c>
      <c r="I46" s="214"/>
      <c r="J46" s="214"/>
      <c r="K46" s="214"/>
      <c r="L46" s="214"/>
      <c r="M46" s="214"/>
      <c r="N46" s="214"/>
      <c r="O46" s="214"/>
      <c r="P46" s="214"/>
      <c r="Q46" s="214"/>
      <c r="R46" s="214"/>
      <c r="S46" s="214"/>
    </row>
    <row r="47" spans="2:19" s="200" customFormat="1" ht="12">
      <c r="B47" s="678"/>
      <c r="C47" s="642" t="str">
        <f>IF('0 Úvod'!$M$3="English",Slovnik!D96,Slovnik!C96)</f>
        <v>Slaboproudá instalace</v>
      </c>
      <c r="D47" s="1214" t="e">
        <f>F47*(('1 CIN'!$F$10-$F$51)/$F$52)</f>
        <v>#DIV/0!</v>
      </c>
      <c r="E47" s="999">
        <v>20</v>
      </c>
      <c r="F47" s="1155"/>
      <c r="G47" s="265" t="e">
        <f t="shared" si="8"/>
        <v>#DIV/0!</v>
      </c>
      <c r="H47" s="266" t="e">
        <f t="shared" si="7"/>
        <v>#DIV/0!</v>
      </c>
      <c r="I47" s="214"/>
      <c r="J47" s="214"/>
      <c r="K47" s="214"/>
      <c r="L47" s="214"/>
      <c r="M47" s="214"/>
      <c r="N47" s="214"/>
      <c r="O47" s="214"/>
      <c r="P47" s="214"/>
      <c r="Q47" s="214"/>
      <c r="R47" s="214"/>
      <c r="S47" s="214"/>
    </row>
    <row r="48" spans="2:19" s="200" customFormat="1" ht="12">
      <c r="B48" s="678"/>
      <c r="C48" s="642" t="str">
        <f>IF('0 Úvod'!$M$3="English",Slovnik!D97,Slovnik!C97)</f>
        <v>Inženýrské objekty (trubní vedení a kabelovody)</v>
      </c>
      <c r="D48" s="1214" t="e">
        <f>F48*(('1 CIN'!$F$10-$F$51)/$F$52)</f>
        <v>#DIV/0!</v>
      </c>
      <c r="E48" s="999">
        <v>30</v>
      </c>
      <c r="F48" s="1155"/>
      <c r="G48" s="265" t="e">
        <f t="shared" si="8"/>
        <v>#DIV/0!</v>
      </c>
      <c r="H48" s="266" t="e">
        <f t="shared" si="7"/>
        <v>#DIV/0!</v>
      </c>
      <c r="I48" s="214"/>
      <c r="J48" s="214"/>
      <c r="K48" s="214"/>
      <c r="L48" s="214"/>
      <c r="M48" s="214"/>
      <c r="N48" s="214"/>
      <c r="O48" s="214"/>
      <c r="P48" s="214"/>
      <c r="Q48" s="214"/>
      <c r="R48" s="214"/>
      <c r="S48" s="214"/>
    </row>
    <row r="49" spans="2:19" s="200" customFormat="1" ht="12">
      <c r="B49" s="678"/>
      <c r="C49" s="642" t="str">
        <f>IF('0 Úvod'!$M$3="English",Slovnik!D98,Slovnik!C98)</f>
        <v>Úpravy vodního toku a terénní úpravy</v>
      </c>
      <c r="D49" s="1214" t="e">
        <f>F49*(('1 CIN'!$F$10-$F$51)/$F$52)</f>
        <v>#DIV/0!</v>
      </c>
      <c r="E49" s="999">
        <v>50</v>
      </c>
      <c r="F49" s="1155"/>
      <c r="G49" s="265" t="e">
        <f t="shared" si="8"/>
        <v>#DIV/0!</v>
      </c>
      <c r="H49" s="266" t="e">
        <f t="shared" si="7"/>
        <v>#DIV/0!</v>
      </c>
      <c r="I49" s="214"/>
      <c r="J49" s="214"/>
      <c r="K49" s="214"/>
      <c r="L49" s="214"/>
      <c r="M49" s="214"/>
      <c r="N49" s="214"/>
      <c r="O49" s="214"/>
      <c r="P49" s="214"/>
      <c r="Q49" s="214"/>
      <c r="R49" s="214"/>
      <c r="S49" s="214"/>
    </row>
    <row r="50" spans="2:19" s="200" customFormat="1" ht="12">
      <c r="B50" s="679"/>
      <c r="C50" s="673" t="str">
        <f>IF('0 Úvod'!$M$3="English",Slovnik!D99,Slovnik!C99)</f>
        <v>Ochrana životního prostředí</v>
      </c>
      <c r="D50" s="1215" t="e">
        <f>F50*(('1 CIN'!$F$10-$F$51)/$F$52)</f>
        <v>#DIV/0!</v>
      </c>
      <c r="E50" s="1000">
        <v>30</v>
      </c>
      <c r="F50" s="1237"/>
      <c r="G50" s="272" t="e">
        <f t="shared" si="8"/>
        <v>#DIV/0!</v>
      </c>
      <c r="H50" s="266" t="e">
        <f t="shared" si="7"/>
        <v>#DIV/0!</v>
      </c>
      <c r="I50" s="214"/>
      <c r="J50" s="214"/>
      <c r="K50" s="214"/>
      <c r="L50" s="214"/>
      <c r="M50" s="214"/>
      <c r="N50" s="214"/>
      <c r="O50" s="214"/>
      <c r="P50" s="214"/>
      <c r="Q50" s="214"/>
      <c r="R50" s="214"/>
      <c r="S50" s="214"/>
    </row>
    <row r="51" spans="2:19" s="200" customFormat="1" ht="12.75" thickBot="1">
      <c r="B51" s="181"/>
      <c r="C51" s="983" t="str">
        <f>IF('0 Úvod'!$M$3="English",Slovnik!D100,Slovnik!C100)</f>
        <v>Pozemky</v>
      </c>
      <c r="D51" s="1216">
        <f>F51</f>
        <v>0</v>
      </c>
      <c r="E51" s="273"/>
      <c r="F51" s="269">
        <f>'1 CIN'!F6</f>
        <v>0</v>
      </c>
      <c r="G51" s="271"/>
      <c r="H51" s="266"/>
      <c r="I51" s="214"/>
      <c r="J51" s="214"/>
      <c r="K51" s="214"/>
      <c r="L51" s="214"/>
      <c r="M51" s="214"/>
      <c r="N51" s="214"/>
      <c r="O51" s="214"/>
      <c r="P51" s="214"/>
      <c r="Q51" s="214"/>
      <c r="R51" s="214"/>
      <c r="S51" s="214"/>
    </row>
    <row r="52" spans="2:19" s="200" customFormat="1" ht="12" thickBot="1">
      <c r="B52" s="181"/>
      <c r="C52" s="680" t="e">
        <f>IF('0 Úvod'!$M$3="English",Slovnik!D85,IF(D52=D5,"CELKEM","POZOR CHYBA V SOUČTU"))</f>
        <v>#DIV/0!</v>
      </c>
      <c r="D52" s="1217" t="e">
        <f>SUM(D40:D51)</f>
        <v>#DIV/0!</v>
      </c>
      <c r="E52" s="274"/>
      <c r="F52" s="270">
        <f>SUM(F40:F50)</f>
        <v>0</v>
      </c>
      <c r="G52" s="268"/>
      <c r="H52" s="214"/>
      <c r="I52" s="221"/>
      <c r="J52" s="214"/>
      <c r="K52" s="214"/>
      <c r="L52" s="214"/>
      <c r="M52" s="214"/>
      <c r="N52" s="214"/>
      <c r="O52" s="214"/>
      <c r="P52" s="214"/>
      <c r="Q52" s="214"/>
      <c r="R52" s="214"/>
      <c r="S52" s="214"/>
    </row>
    <row r="53" spans="6:20" s="222" customFormat="1" ht="11.25">
      <c r="F53" s="223"/>
      <c r="G53" s="221"/>
      <c r="H53" s="135"/>
      <c r="I53" s="135"/>
      <c r="J53" s="221"/>
      <c r="K53" s="221"/>
      <c r="L53" s="221"/>
      <c r="M53" s="221"/>
      <c r="N53" s="221"/>
      <c r="O53" s="221"/>
      <c r="P53" s="221"/>
      <c r="Q53" s="221"/>
      <c r="R53" s="221"/>
      <c r="T53" s="224"/>
    </row>
    <row r="54" spans="3:21" s="200" customFormat="1" ht="11.25">
      <c r="C54" s="200" t="str">
        <f>IF('0 Úvod'!$M$3="English",Slovnik!D112,Slovnik!C112)</f>
        <v>* hrubé hydrotechnické konstrukce jsou např. železobetonová konstrukce jezu, přehrady, vodní elektrárny nebo zdymadla.</v>
      </c>
      <c r="F54" s="135"/>
      <c r="G54" s="199"/>
      <c r="H54" s="1198"/>
      <c r="I54" s="225"/>
      <c r="J54" s="135"/>
      <c r="K54" s="135"/>
      <c r="L54" s="135"/>
      <c r="M54" s="135"/>
      <c r="N54" s="135"/>
      <c r="O54" s="135"/>
      <c r="P54" s="135"/>
      <c r="Q54" s="135"/>
      <c r="R54" s="135"/>
      <c r="S54" s="135"/>
      <c r="U54" s="202"/>
    </row>
    <row r="55" spans="3:11" s="200" customFormat="1" ht="11.25">
      <c r="C55" s="200" t="str">
        <f>IF('0 Úvod'!$M$3="English",Slovnik!D113,Slovnik!C113)</f>
        <v>** např. vrata zdymadla, turbína a jiné.</v>
      </c>
      <c r="F55" s="225"/>
      <c r="G55" s="225"/>
      <c r="J55" s="225"/>
      <c r="K55" s="225"/>
    </row>
    <row r="56" s="200" customFormat="1" ht="12" thickBot="1">
      <c r="H56" s="218"/>
    </row>
    <row r="57" spans="2:16" s="200" customFormat="1" ht="11.25">
      <c r="B57" s="1282" t="str">
        <f>IF('0 Úvod'!$M$3="English",Slovnik!D82,Slovnik!C82)</f>
        <v>Komentáře</v>
      </c>
      <c r="C57" s="1283"/>
      <c r="D57" s="1283"/>
      <c r="E57" s="1283"/>
      <c r="F57" s="1283"/>
      <c r="G57" s="1283"/>
      <c r="H57" s="1283"/>
      <c r="I57" s="1283"/>
      <c r="J57" s="1283"/>
      <c r="K57" s="1283"/>
      <c r="L57" s="1283"/>
      <c r="M57" s="1283"/>
      <c r="N57" s="1283"/>
      <c r="O57" s="1283"/>
      <c r="P57" s="1284"/>
    </row>
    <row r="58" spans="2:16" s="200" customFormat="1" ht="12" thickBot="1">
      <c r="B58" s="1285"/>
      <c r="C58" s="1286"/>
      <c r="D58" s="1286"/>
      <c r="E58" s="1286"/>
      <c r="F58" s="1286"/>
      <c r="G58" s="1286"/>
      <c r="H58" s="1286"/>
      <c r="I58" s="1286"/>
      <c r="J58" s="1286"/>
      <c r="K58" s="1286"/>
      <c r="L58" s="1286"/>
      <c r="M58" s="1286"/>
      <c r="N58" s="1286"/>
      <c r="O58" s="1286"/>
      <c r="P58" s="1287"/>
    </row>
    <row r="59" spans="2:16" ht="11.25">
      <c r="B59" s="1288"/>
      <c r="C59" s="1289"/>
      <c r="D59" s="1289"/>
      <c r="E59" s="1289"/>
      <c r="F59" s="1289"/>
      <c r="G59" s="1289"/>
      <c r="H59" s="1289"/>
      <c r="I59" s="1289"/>
      <c r="J59" s="1289"/>
      <c r="K59" s="1289"/>
      <c r="L59" s="1289"/>
      <c r="M59" s="1289"/>
      <c r="N59" s="1289"/>
      <c r="O59" s="1289"/>
      <c r="P59" s="1290"/>
    </row>
    <row r="60" spans="2:16" ht="11.25">
      <c r="B60" s="1291"/>
      <c r="C60" s="1292"/>
      <c r="D60" s="1292"/>
      <c r="E60" s="1292"/>
      <c r="F60" s="1292"/>
      <c r="G60" s="1292"/>
      <c r="H60" s="1292"/>
      <c r="I60" s="1292"/>
      <c r="J60" s="1292"/>
      <c r="K60" s="1292"/>
      <c r="L60" s="1292"/>
      <c r="M60" s="1292"/>
      <c r="N60" s="1292"/>
      <c r="O60" s="1292"/>
      <c r="P60" s="1293"/>
    </row>
    <row r="61" spans="2:16" ht="12" thickBot="1">
      <c r="B61" s="1294"/>
      <c r="C61" s="1295"/>
      <c r="D61" s="1295"/>
      <c r="E61" s="1295"/>
      <c r="F61" s="1295"/>
      <c r="G61" s="1295"/>
      <c r="H61" s="1295"/>
      <c r="I61" s="1295"/>
      <c r="J61" s="1295"/>
      <c r="K61" s="1295"/>
      <c r="L61" s="1295"/>
      <c r="M61" s="1295"/>
      <c r="N61" s="1295"/>
      <c r="O61" s="1295"/>
      <c r="P61" s="1296"/>
    </row>
  </sheetData>
  <sheetProtection/>
  <mergeCells count="8">
    <mergeCell ref="D3:D4"/>
    <mergeCell ref="D21:D22"/>
    <mergeCell ref="B57:P58"/>
    <mergeCell ref="B59:P61"/>
    <mergeCell ref="O39:P39"/>
    <mergeCell ref="O40:P40"/>
    <mergeCell ref="O42:P42"/>
    <mergeCell ref="O43:P43"/>
  </mergeCells>
  <conditionalFormatting sqref="C52">
    <cfRule type="cellIs" priority="1" dxfId="9" operator="equal" stopIfTrue="1">
      <formula>"POZOR CHYBA V SOUČTU"</formula>
    </cfRule>
  </conditionalFormatting>
  <printOptions/>
  <pageMargins left="0.3937007874015748" right="0.35433070866141736" top="0.7874015748031497" bottom="0.7874015748031497" header="0.3937007874015748" footer="0.3937007874015748"/>
  <pageSetup fitToHeight="1" fitToWidth="1" horizontalDpi="600" verticalDpi="600" orientation="landscape" paperSize="9" scale="41" r:id="rId2"/>
  <headerFooter alignWithMargins="0">
    <oddFooter>&amp;L&amp;A&amp;C25.2.2013</oddFooter>
  </headerFooter>
  <legacyDrawing r:id="rId1"/>
</worksheet>
</file>

<file path=xl/worksheets/sheet4.xml><?xml version="1.0" encoding="utf-8"?>
<worksheet xmlns="http://schemas.openxmlformats.org/spreadsheetml/2006/main" xmlns:r="http://schemas.openxmlformats.org/officeDocument/2006/relationships">
  <sheetPr codeName="List38">
    <tabColor theme="3" tint="0.5999900102615356"/>
    <pageSetUpPr fitToPage="1"/>
  </sheetPr>
  <dimension ref="A1:AC96"/>
  <sheetViews>
    <sheetView zoomScale="80" zoomScaleNormal="80" zoomScalePageLayoutView="0" workbookViewId="0" topLeftCell="A1">
      <selection activeCell="C7" sqref="C7"/>
    </sheetView>
  </sheetViews>
  <sheetFormatPr defaultColWidth="9.140625" defaultRowHeight="12.75"/>
  <cols>
    <col min="1" max="1" width="2.7109375" style="200" customWidth="1"/>
    <col min="2" max="2" width="5.7109375" style="200" customWidth="1"/>
    <col min="3" max="3" width="41.28125" style="200" customWidth="1"/>
    <col min="4" max="4" width="12.7109375" style="200" customWidth="1"/>
    <col min="5" max="17" width="10.7109375" style="200" customWidth="1"/>
    <col min="18" max="29" width="10.421875" style="200" customWidth="1"/>
    <col min="30" max="34" width="8.7109375" style="200" bestFit="1" customWidth="1"/>
    <col min="35" max="35" width="10.421875" style="200" bestFit="1" customWidth="1"/>
    <col min="36" max="16384" width="9.140625" style="200" customWidth="1"/>
  </cols>
  <sheetData>
    <row r="1" spans="1:19" ht="12" thickBot="1">
      <c r="A1" s="135"/>
      <c r="B1" s="135"/>
      <c r="C1" s="135"/>
      <c r="D1" s="135"/>
      <c r="E1" s="199"/>
      <c r="F1" s="135"/>
      <c r="G1" s="135"/>
      <c r="H1" s="135"/>
      <c r="I1" s="135"/>
      <c r="J1" s="135"/>
      <c r="K1" s="135"/>
      <c r="L1" s="135"/>
      <c r="M1" s="135"/>
      <c r="N1" s="135"/>
      <c r="O1" s="135"/>
      <c r="P1" s="135"/>
      <c r="Q1" s="135"/>
      <c r="R1" s="135"/>
      <c r="S1" s="135"/>
    </row>
    <row r="2" spans="2:29" ht="12.75">
      <c r="B2" s="330" t="s">
        <v>24</v>
      </c>
      <c r="C2" s="331" t="str">
        <f>IF('0 Úvod'!$M$3="English",Slovnik!D115,Slovnik!C115)</f>
        <v>Celková náklady údržby infrastruktury</v>
      </c>
      <c r="D2" s="360" t="s">
        <v>134</v>
      </c>
      <c r="E2" s="1310">
        <f>'1 CIN'!G3</f>
        <v>2014</v>
      </c>
      <c r="F2" s="1310">
        <f aca="true" t="shared" si="0" ref="F2:S2">E2+1</f>
        <v>2015</v>
      </c>
      <c r="G2" s="1310">
        <f t="shared" si="0"/>
        <v>2016</v>
      </c>
      <c r="H2" s="1310">
        <f t="shared" si="0"/>
        <v>2017</v>
      </c>
      <c r="I2" s="1310">
        <f t="shared" si="0"/>
        <v>2018</v>
      </c>
      <c r="J2" s="1310">
        <f t="shared" si="0"/>
        <v>2019</v>
      </c>
      <c r="K2" s="1310">
        <f t="shared" si="0"/>
        <v>2020</v>
      </c>
      <c r="L2" s="1310">
        <f t="shared" si="0"/>
        <v>2021</v>
      </c>
      <c r="M2" s="1310">
        <f t="shared" si="0"/>
        <v>2022</v>
      </c>
      <c r="N2" s="1310">
        <f t="shared" si="0"/>
        <v>2023</v>
      </c>
      <c r="O2" s="1310">
        <f t="shared" si="0"/>
        <v>2024</v>
      </c>
      <c r="P2" s="1310">
        <f t="shared" si="0"/>
        <v>2025</v>
      </c>
      <c r="Q2" s="1310">
        <f t="shared" si="0"/>
        <v>2026</v>
      </c>
      <c r="R2" s="1310">
        <f t="shared" si="0"/>
        <v>2027</v>
      </c>
      <c r="S2" s="1310">
        <f t="shared" si="0"/>
        <v>2028</v>
      </c>
      <c r="T2" s="1310">
        <f aca="true" t="shared" si="1" ref="T2:AC2">S2+1</f>
        <v>2029</v>
      </c>
      <c r="U2" s="1310">
        <f t="shared" si="1"/>
        <v>2030</v>
      </c>
      <c r="V2" s="1310">
        <f t="shared" si="1"/>
        <v>2031</v>
      </c>
      <c r="W2" s="1310">
        <f t="shared" si="1"/>
        <v>2032</v>
      </c>
      <c r="X2" s="1310">
        <f t="shared" si="1"/>
        <v>2033</v>
      </c>
      <c r="Y2" s="1310">
        <f t="shared" si="1"/>
        <v>2034</v>
      </c>
      <c r="Z2" s="1310">
        <f t="shared" si="1"/>
        <v>2035</v>
      </c>
      <c r="AA2" s="1310">
        <f t="shared" si="1"/>
        <v>2036</v>
      </c>
      <c r="AB2" s="1310">
        <f t="shared" si="1"/>
        <v>2037</v>
      </c>
      <c r="AC2" s="1312">
        <f t="shared" si="1"/>
        <v>2038</v>
      </c>
    </row>
    <row r="3" spans="1:29" ht="13.5" thickBot="1">
      <c r="A3" s="135"/>
      <c r="B3" s="361" t="s">
        <v>17</v>
      </c>
      <c r="C3" s="364" t="str">
        <f>IF('0 Úvod'!$M$3="English",Slovnik!D116,Slovnik!C116)</f>
        <v>Scénář s projektem</v>
      </c>
      <c r="D3" s="362" t="str">
        <f>IF('0 Úvod'!$M$3="English",Slovnik!D138,Slovnik!C138)</f>
        <v>Celkem</v>
      </c>
      <c r="E3" s="1311"/>
      <c r="F3" s="1311"/>
      <c r="G3" s="1311"/>
      <c r="H3" s="1311"/>
      <c r="I3" s="1311"/>
      <c r="J3" s="1311"/>
      <c r="K3" s="1311"/>
      <c r="L3" s="1311"/>
      <c r="M3" s="1311"/>
      <c r="N3" s="1311"/>
      <c r="O3" s="1311"/>
      <c r="P3" s="1311"/>
      <c r="Q3" s="1311"/>
      <c r="R3" s="1311"/>
      <c r="S3" s="1311"/>
      <c r="T3" s="1311"/>
      <c r="U3" s="1311"/>
      <c r="V3" s="1311"/>
      <c r="W3" s="1311"/>
      <c r="X3" s="1311"/>
      <c r="Y3" s="1311"/>
      <c r="Z3" s="1311"/>
      <c r="AA3" s="1311"/>
      <c r="AB3" s="1311"/>
      <c r="AC3" s="1281"/>
    </row>
    <row r="4" spans="1:29" ht="12">
      <c r="A4" s="135"/>
      <c r="B4" s="641"/>
      <c r="C4" s="1069" t="s">
        <v>619</v>
      </c>
      <c r="D4" s="302">
        <f aca="true" t="shared" si="2" ref="D4:D9">SUM(E4:AC4,E13:AC13)</f>
        <v>0</v>
      </c>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4"/>
    </row>
    <row r="5" spans="1:29" ht="12">
      <c r="A5" s="135"/>
      <c r="B5" s="655"/>
      <c r="C5" s="1070" t="s">
        <v>620</v>
      </c>
      <c r="D5" s="302">
        <f t="shared" si="2"/>
        <v>0</v>
      </c>
      <c r="E5" s="637"/>
      <c r="F5" s="637"/>
      <c r="G5" s="637"/>
      <c r="H5" s="637"/>
      <c r="I5" s="637"/>
      <c r="J5" s="637"/>
      <c r="K5" s="637"/>
      <c r="L5" s="637"/>
      <c r="M5" s="637"/>
      <c r="N5" s="637"/>
      <c r="O5" s="637"/>
      <c r="P5" s="637"/>
      <c r="Q5" s="637"/>
      <c r="R5" s="637"/>
      <c r="S5" s="637"/>
      <c r="T5" s="637"/>
      <c r="U5" s="637"/>
      <c r="V5" s="637"/>
      <c r="W5" s="637"/>
      <c r="X5" s="637"/>
      <c r="Y5" s="637"/>
      <c r="Z5" s="637"/>
      <c r="AA5" s="637"/>
      <c r="AB5" s="637"/>
      <c r="AC5" s="638"/>
    </row>
    <row r="6" spans="1:29" ht="12" customHeight="1">
      <c r="A6" s="135"/>
      <c r="B6" s="655"/>
      <c r="C6" s="1071" t="s">
        <v>621</v>
      </c>
      <c r="D6" s="302">
        <f t="shared" si="2"/>
        <v>0</v>
      </c>
      <c r="E6" s="637"/>
      <c r="F6" s="637"/>
      <c r="G6" s="637"/>
      <c r="H6" s="637"/>
      <c r="I6" s="637"/>
      <c r="J6" s="637"/>
      <c r="K6" s="637"/>
      <c r="L6" s="637"/>
      <c r="M6" s="637"/>
      <c r="N6" s="637"/>
      <c r="O6" s="637"/>
      <c r="P6" s="637"/>
      <c r="Q6" s="637"/>
      <c r="R6" s="637"/>
      <c r="S6" s="637"/>
      <c r="T6" s="637"/>
      <c r="U6" s="637"/>
      <c r="V6" s="637"/>
      <c r="W6" s="637"/>
      <c r="X6" s="637"/>
      <c r="Y6" s="637"/>
      <c r="Z6" s="637"/>
      <c r="AA6" s="637"/>
      <c r="AB6" s="637"/>
      <c r="AC6" s="638"/>
    </row>
    <row r="7" spans="1:29" ht="12" customHeight="1">
      <c r="A7" s="135"/>
      <c r="B7" s="655"/>
      <c r="C7" s="1071"/>
      <c r="D7" s="302">
        <f t="shared" si="2"/>
        <v>0</v>
      </c>
      <c r="E7" s="637"/>
      <c r="F7" s="637"/>
      <c r="G7" s="637"/>
      <c r="H7" s="637"/>
      <c r="I7" s="637"/>
      <c r="J7" s="637"/>
      <c r="K7" s="637"/>
      <c r="L7" s="637"/>
      <c r="M7" s="637"/>
      <c r="N7" s="637"/>
      <c r="O7" s="637"/>
      <c r="P7" s="637"/>
      <c r="Q7" s="637"/>
      <c r="R7" s="637"/>
      <c r="S7" s="637"/>
      <c r="T7" s="637"/>
      <c r="U7" s="637"/>
      <c r="V7" s="637"/>
      <c r="W7" s="637"/>
      <c r="X7" s="637"/>
      <c r="Y7" s="637"/>
      <c r="Z7" s="637"/>
      <c r="AA7" s="637"/>
      <c r="AB7" s="637"/>
      <c r="AC7" s="638"/>
    </row>
    <row r="8" spans="1:29" ht="12" customHeight="1">
      <c r="A8" s="135"/>
      <c r="B8" s="657"/>
      <c r="C8" s="1072"/>
      <c r="D8" s="310">
        <f t="shared" si="2"/>
        <v>0</v>
      </c>
      <c r="E8" s="639"/>
      <c r="F8" s="639"/>
      <c r="G8" s="639"/>
      <c r="H8" s="639"/>
      <c r="I8" s="639"/>
      <c r="J8" s="639"/>
      <c r="K8" s="639"/>
      <c r="L8" s="639"/>
      <c r="M8" s="639"/>
      <c r="N8" s="639"/>
      <c r="O8" s="639"/>
      <c r="P8" s="639"/>
      <c r="Q8" s="639"/>
      <c r="R8" s="639"/>
      <c r="S8" s="639"/>
      <c r="T8" s="639"/>
      <c r="U8" s="639"/>
      <c r="V8" s="639"/>
      <c r="W8" s="639"/>
      <c r="X8" s="639"/>
      <c r="Y8" s="639"/>
      <c r="Z8" s="639"/>
      <c r="AA8" s="639"/>
      <c r="AB8" s="639"/>
      <c r="AC8" s="640"/>
    </row>
    <row r="9" spans="1:29" ht="12.75" thickBot="1">
      <c r="A9" s="135"/>
      <c r="B9" s="650"/>
      <c r="C9" s="659" t="str">
        <f>IF('0 Úvod'!$M$3="English",Slovnik!D117,Slovnik!C117)</f>
        <v>Celkové náklady</v>
      </c>
      <c r="D9" s="306">
        <f t="shared" si="2"/>
        <v>0</v>
      </c>
      <c r="E9" s="307">
        <f>SUM(E4:E8)</f>
        <v>0</v>
      </c>
      <c r="F9" s="308">
        <f>SUM(F4:F8)</f>
        <v>0</v>
      </c>
      <c r="G9" s="308">
        <f aca="true" t="shared" si="3" ref="G9:R9">SUM(G4:G8)</f>
        <v>0</v>
      </c>
      <c r="H9" s="308">
        <f t="shared" si="3"/>
        <v>0</v>
      </c>
      <c r="I9" s="308">
        <f t="shared" si="3"/>
        <v>0</v>
      </c>
      <c r="J9" s="308">
        <f t="shared" si="3"/>
        <v>0</v>
      </c>
      <c r="K9" s="308">
        <f t="shared" si="3"/>
        <v>0</v>
      </c>
      <c r="L9" s="308">
        <f t="shared" si="3"/>
        <v>0</v>
      </c>
      <c r="M9" s="308">
        <f t="shared" si="3"/>
        <v>0</v>
      </c>
      <c r="N9" s="308">
        <f t="shared" si="3"/>
        <v>0</v>
      </c>
      <c r="O9" s="308">
        <f t="shared" si="3"/>
        <v>0</v>
      </c>
      <c r="P9" s="308">
        <f t="shared" si="3"/>
        <v>0</v>
      </c>
      <c r="Q9" s="308">
        <f t="shared" si="3"/>
        <v>0</v>
      </c>
      <c r="R9" s="308">
        <f t="shared" si="3"/>
        <v>0</v>
      </c>
      <c r="S9" s="308">
        <f>SUM(S4:S8)</f>
        <v>0</v>
      </c>
      <c r="T9" s="308">
        <f aca="true" t="shared" si="4" ref="T9:AC9">SUM(T4:T8)</f>
        <v>0</v>
      </c>
      <c r="U9" s="308">
        <f t="shared" si="4"/>
        <v>0</v>
      </c>
      <c r="V9" s="308">
        <f t="shared" si="4"/>
        <v>0</v>
      </c>
      <c r="W9" s="308">
        <f t="shared" si="4"/>
        <v>0</v>
      </c>
      <c r="X9" s="308">
        <f t="shared" si="4"/>
        <v>0</v>
      </c>
      <c r="Y9" s="308">
        <f t="shared" si="4"/>
        <v>0</v>
      </c>
      <c r="Z9" s="308">
        <f t="shared" si="4"/>
        <v>0</v>
      </c>
      <c r="AA9" s="308">
        <f t="shared" si="4"/>
        <v>0</v>
      </c>
      <c r="AB9" s="308">
        <f t="shared" si="4"/>
        <v>0</v>
      </c>
      <c r="AC9" s="309">
        <f t="shared" si="4"/>
        <v>0</v>
      </c>
    </row>
    <row r="10" spans="1:29" ht="12" thickBot="1">
      <c r="A10" s="135"/>
      <c r="B10" s="201"/>
      <c r="C10" s="135"/>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row>
    <row r="11" spans="2:29" ht="12.75">
      <c r="B11" s="330" t="s">
        <v>24</v>
      </c>
      <c r="C11" s="331" t="str">
        <f>C2</f>
        <v>Celková náklady údržby infrastruktury</v>
      </c>
      <c r="D11" s="363" t="str">
        <f>D2</f>
        <v>CZK</v>
      </c>
      <c r="E11" s="1313">
        <f>AC2+1</f>
        <v>2039</v>
      </c>
      <c r="F11" s="1310">
        <f aca="true" t="shared" si="5" ref="F11:S11">E11+1</f>
        <v>2040</v>
      </c>
      <c r="G11" s="1310">
        <f t="shared" si="5"/>
        <v>2041</v>
      </c>
      <c r="H11" s="1310">
        <f t="shared" si="5"/>
        <v>2042</v>
      </c>
      <c r="I11" s="1310">
        <f t="shared" si="5"/>
        <v>2043</v>
      </c>
      <c r="J11" s="1310">
        <f t="shared" si="5"/>
        <v>2044</v>
      </c>
      <c r="K11" s="1310">
        <f t="shared" si="5"/>
        <v>2045</v>
      </c>
      <c r="L11" s="1310">
        <f t="shared" si="5"/>
        <v>2046</v>
      </c>
      <c r="M11" s="1310">
        <f t="shared" si="5"/>
        <v>2047</v>
      </c>
      <c r="N11" s="1310">
        <f t="shared" si="5"/>
        <v>2048</v>
      </c>
      <c r="O11" s="1310">
        <f t="shared" si="5"/>
        <v>2049</v>
      </c>
      <c r="P11" s="1310">
        <f t="shared" si="5"/>
        <v>2050</v>
      </c>
      <c r="Q11" s="1310">
        <f t="shared" si="5"/>
        <v>2051</v>
      </c>
      <c r="R11" s="1310">
        <f t="shared" si="5"/>
        <v>2052</v>
      </c>
      <c r="S11" s="1310">
        <f t="shared" si="5"/>
        <v>2053</v>
      </c>
      <c r="T11" s="1310">
        <f aca="true" t="shared" si="6" ref="T11:AC11">S11+1</f>
        <v>2054</v>
      </c>
      <c r="U11" s="1310">
        <f t="shared" si="6"/>
        <v>2055</v>
      </c>
      <c r="V11" s="1310">
        <f t="shared" si="6"/>
        <v>2056</v>
      </c>
      <c r="W11" s="1310">
        <f t="shared" si="6"/>
        <v>2057</v>
      </c>
      <c r="X11" s="1310">
        <f t="shared" si="6"/>
        <v>2058</v>
      </c>
      <c r="Y11" s="1310">
        <f t="shared" si="6"/>
        <v>2059</v>
      </c>
      <c r="Z11" s="1310">
        <f t="shared" si="6"/>
        <v>2060</v>
      </c>
      <c r="AA11" s="1310">
        <f t="shared" si="6"/>
        <v>2061</v>
      </c>
      <c r="AB11" s="1310">
        <f t="shared" si="6"/>
        <v>2062</v>
      </c>
      <c r="AC11" s="1312">
        <f t="shared" si="6"/>
        <v>2063</v>
      </c>
    </row>
    <row r="12" spans="1:29" ht="13.5" thickBot="1">
      <c r="A12" s="135"/>
      <c r="B12" s="361" t="s">
        <v>19</v>
      </c>
      <c r="C12" s="364" t="str">
        <f>C3</f>
        <v>Scénář s projektem</v>
      </c>
      <c r="D12" s="365"/>
      <c r="E12" s="1314"/>
      <c r="F12" s="1311"/>
      <c r="G12" s="1311"/>
      <c r="H12" s="1311"/>
      <c r="I12" s="1311"/>
      <c r="J12" s="1311"/>
      <c r="K12" s="1311"/>
      <c r="L12" s="1311"/>
      <c r="M12" s="1311"/>
      <c r="N12" s="1311"/>
      <c r="O12" s="1311"/>
      <c r="P12" s="1311"/>
      <c r="Q12" s="1311"/>
      <c r="R12" s="1311"/>
      <c r="S12" s="1311"/>
      <c r="T12" s="1311"/>
      <c r="U12" s="1311"/>
      <c r="V12" s="1311"/>
      <c r="W12" s="1311"/>
      <c r="X12" s="1311"/>
      <c r="Y12" s="1311"/>
      <c r="Z12" s="1311"/>
      <c r="AA12" s="1311"/>
      <c r="AB12" s="1311"/>
      <c r="AC12" s="1281"/>
    </row>
    <row r="13" spans="1:29" ht="12">
      <c r="A13" s="135"/>
      <c r="B13" s="641"/>
      <c r="C13" s="642" t="str">
        <f>IF($C$4="","",$C$4)</f>
        <v>Vodní díla</v>
      </c>
      <c r="D13" s="643"/>
      <c r="E13" s="1075"/>
      <c r="F13" s="1075"/>
      <c r="G13" s="1075"/>
      <c r="H13" s="1075"/>
      <c r="I13" s="1075"/>
      <c r="J13" s="1075"/>
      <c r="K13" s="1075"/>
      <c r="L13" s="1075"/>
      <c r="M13" s="1075"/>
      <c r="N13" s="1075"/>
      <c r="O13" s="1075"/>
      <c r="P13" s="1075"/>
      <c r="Q13" s="1075"/>
      <c r="R13" s="1075"/>
      <c r="S13" s="1075"/>
      <c r="T13" s="1075"/>
      <c r="U13" s="1075"/>
      <c r="V13" s="1075"/>
      <c r="W13" s="1075"/>
      <c r="X13" s="1075"/>
      <c r="Y13" s="1075"/>
      <c r="Z13" s="1075"/>
      <c r="AA13" s="1075"/>
      <c r="AB13" s="1075"/>
      <c r="AC13" s="1076"/>
    </row>
    <row r="14" spans="1:29" ht="12">
      <c r="A14" s="135"/>
      <c r="B14" s="644"/>
      <c r="C14" s="645" t="str">
        <f>IF($C$5="","",$C$5)</f>
        <v>Údržba toku - povodí Vltava</v>
      </c>
      <c r="D14" s="1142"/>
      <c r="E14" s="1077"/>
      <c r="F14" s="1077"/>
      <c r="G14" s="1077"/>
      <c r="H14" s="1077"/>
      <c r="I14" s="1077"/>
      <c r="J14" s="1077"/>
      <c r="K14" s="1077"/>
      <c r="L14" s="1077"/>
      <c r="M14" s="1077"/>
      <c r="N14" s="1077"/>
      <c r="O14" s="1077"/>
      <c r="P14" s="1077"/>
      <c r="Q14" s="1077"/>
      <c r="R14" s="1077"/>
      <c r="S14" s="1077"/>
      <c r="T14" s="1077"/>
      <c r="U14" s="1077"/>
      <c r="V14" s="1077"/>
      <c r="W14" s="1077"/>
      <c r="X14" s="1077"/>
      <c r="Y14" s="1077"/>
      <c r="Z14" s="1077"/>
      <c r="AA14" s="1077"/>
      <c r="AB14" s="1077"/>
      <c r="AC14" s="1078"/>
    </row>
    <row r="15" spans="1:29" ht="12">
      <c r="A15" s="135"/>
      <c r="B15" s="644"/>
      <c r="C15" s="645" t="str">
        <f>IF($C$6="","",$C$6)</f>
        <v>Periodické opravy</v>
      </c>
      <c r="D15" s="646"/>
      <c r="E15" s="1075"/>
      <c r="F15" s="1075"/>
      <c r="G15" s="637"/>
      <c r="H15" s="1075"/>
      <c r="I15" s="1075"/>
      <c r="J15" s="1075"/>
      <c r="K15" s="1075"/>
      <c r="L15" s="1075"/>
      <c r="M15" s="1075"/>
      <c r="N15" s="1075"/>
      <c r="O15" s="1075"/>
      <c r="P15" s="1075"/>
      <c r="Q15" s="1075"/>
      <c r="R15" s="1075"/>
      <c r="S15" s="1075"/>
      <c r="T15" s="1075"/>
      <c r="U15" s="1075"/>
      <c r="V15" s="1075"/>
      <c r="W15" s="1075"/>
      <c r="X15" s="1075"/>
      <c r="Y15" s="1075"/>
      <c r="Z15" s="1075"/>
      <c r="AA15" s="1075"/>
      <c r="AB15" s="1075"/>
      <c r="AC15" s="1076"/>
    </row>
    <row r="16" spans="1:29" ht="12">
      <c r="A16" s="135"/>
      <c r="B16" s="644"/>
      <c r="C16" s="645">
        <f>IF($C$7="","",$C$7)</f>
      </c>
      <c r="D16" s="646"/>
      <c r="E16" s="1075"/>
      <c r="F16" s="1075"/>
      <c r="G16" s="1075"/>
      <c r="H16" s="1075"/>
      <c r="I16" s="1075"/>
      <c r="J16" s="1075"/>
      <c r="K16" s="1075"/>
      <c r="L16" s="1075"/>
      <c r="M16" s="1075"/>
      <c r="N16" s="1075"/>
      <c r="O16" s="1075"/>
      <c r="P16" s="1075"/>
      <c r="Q16" s="1075"/>
      <c r="R16" s="1075"/>
      <c r="S16" s="1075"/>
      <c r="T16" s="1075"/>
      <c r="U16" s="1075"/>
      <c r="V16" s="1075"/>
      <c r="W16" s="1075"/>
      <c r="X16" s="1075"/>
      <c r="Y16" s="1075"/>
      <c r="Z16" s="1075"/>
      <c r="AA16" s="1075"/>
      <c r="AB16" s="1075"/>
      <c r="AC16" s="1076"/>
    </row>
    <row r="17" spans="1:29" ht="12">
      <c r="A17" s="135"/>
      <c r="B17" s="647"/>
      <c r="C17" s="648">
        <f>IF($C$8="","",$C$8)</f>
      </c>
      <c r="D17" s="649"/>
      <c r="E17" s="1079"/>
      <c r="F17" s="1079"/>
      <c r="G17" s="1079"/>
      <c r="H17" s="1079"/>
      <c r="I17" s="1079"/>
      <c r="J17" s="1079"/>
      <c r="K17" s="1079"/>
      <c r="L17" s="1079"/>
      <c r="M17" s="1079"/>
      <c r="N17" s="1079"/>
      <c r="O17" s="1079"/>
      <c r="P17" s="1079"/>
      <c r="Q17" s="1079"/>
      <c r="R17" s="1079"/>
      <c r="S17" s="1079"/>
      <c r="T17" s="1079"/>
      <c r="U17" s="1079"/>
      <c r="V17" s="1079"/>
      <c r="W17" s="1079"/>
      <c r="X17" s="1079"/>
      <c r="Y17" s="1079"/>
      <c r="Z17" s="1079"/>
      <c r="AA17" s="1079"/>
      <c r="AB17" s="1079"/>
      <c r="AC17" s="1080"/>
    </row>
    <row r="18" spans="1:29" ht="12.75" thickBot="1">
      <c r="A18" s="134"/>
      <c r="B18" s="650"/>
      <c r="C18" s="651" t="str">
        <f>C9</f>
        <v>Celkové náklady</v>
      </c>
      <c r="D18" s="652"/>
      <c r="E18" s="299">
        <f>SUM(E13:E17)</f>
        <v>0</v>
      </c>
      <c r="F18" s="299">
        <f>SUM(F13:F17)</f>
        <v>0</v>
      </c>
      <c r="G18" s="299">
        <f aca="true" t="shared" si="7" ref="G18:R18">SUM(G13:G17)</f>
        <v>0</v>
      </c>
      <c r="H18" s="299">
        <f t="shared" si="7"/>
        <v>0</v>
      </c>
      <c r="I18" s="299">
        <f t="shared" si="7"/>
        <v>0</v>
      </c>
      <c r="J18" s="299">
        <f t="shared" si="7"/>
        <v>0</v>
      </c>
      <c r="K18" s="299">
        <f t="shared" si="7"/>
        <v>0</v>
      </c>
      <c r="L18" s="299">
        <f t="shared" si="7"/>
        <v>0</v>
      </c>
      <c r="M18" s="299">
        <f t="shared" si="7"/>
        <v>0</v>
      </c>
      <c r="N18" s="299">
        <f t="shared" si="7"/>
        <v>0</v>
      </c>
      <c r="O18" s="299">
        <f t="shared" si="7"/>
        <v>0</v>
      </c>
      <c r="P18" s="299">
        <f t="shared" si="7"/>
        <v>0</v>
      </c>
      <c r="Q18" s="299">
        <f t="shared" si="7"/>
        <v>0</v>
      </c>
      <c r="R18" s="299">
        <f t="shared" si="7"/>
        <v>0</v>
      </c>
      <c r="S18" s="299">
        <f>SUM(S13:S17)</f>
        <v>0</v>
      </c>
      <c r="T18" s="299">
        <f aca="true" t="shared" si="8" ref="T18:AC18">SUM(T13:T17)</f>
        <v>0</v>
      </c>
      <c r="U18" s="299">
        <f t="shared" si="8"/>
        <v>0</v>
      </c>
      <c r="V18" s="299">
        <f t="shared" si="8"/>
        <v>0</v>
      </c>
      <c r="W18" s="299">
        <f t="shared" si="8"/>
        <v>0</v>
      </c>
      <c r="X18" s="299">
        <f t="shared" si="8"/>
        <v>0</v>
      </c>
      <c r="Y18" s="299">
        <f t="shared" si="8"/>
        <v>0</v>
      </c>
      <c r="Z18" s="299">
        <f t="shared" si="8"/>
        <v>0</v>
      </c>
      <c r="AA18" s="299">
        <f t="shared" si="8"/>
        <v>0</v>
      </c>
      <c r="AB18" s="299">
        <f t="shared" si="8"/>
        <v>0</v>
      </c>
      <c r="AC18" s="300">
        <f t="shared" si="8"/>
        <v>0</v>
      </c>
    </row>
    <row r="19" spans="1:29" ht="11.25">
      <c r="A19" s="134"/>
      <c r="B19" s="203"/>
      <c r="C19" s="134"/>
      <c r="D19" s="199"/>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row>
    <row r="20" ht="12" thickBot="1"/>
    <row r="21" spans="2:29" ht="12.75">
      <c r="B21" s="330" t="s">
        <v>25</v>
      </c>
      <c r="C21" s="344" t="str">
        <f>C2</f>
        <v>Celková náklady údržby infrastruktury</v>
      </c>
      <c r="D21" s="360" t="str">
        <f>D2</f>
        <v>CZK</v>
      </c>
      <c r="E21" s="1313">
        <f>E2</f>
        <v>2014</v>
      </c>
      <c r="F21" s="1310">
        <f aca="true" t="shared" si="9" ref="F21:S21">E21+1</f>
        <v>2015</v>
      </c>
      <c r="G21" s="1310">
        <f t="shared" si="9"/>
        <v>2016</v>
      </c>
      <c r="H21" s="1310">
        <f t="shared" si="9"/>
        <v>2017</v>
      </c>
      <c r="I21" s="1310">
        <f t="shared" si="9"/>
        <v>2018</v>
      </c>
      <c r="J21" s="1310">
        <f t="shared" si="9"/>
        <v>2019</v>
      </c>
      <c r="K21" s="1310">
        <f t="shared" si="9"/>
        <v>2020</v>
      </c>
      <c r="L21" s="1310">
        <f t="shared" si="9"/>
        <v>2021</v>
      </c>
      <c r="M21" s="1310">
        <f t="shared" si="9"/>
        <v>2022</v>
      </c>
      <c r="N21" s="1310">
        <f t="shared" si="9"/>
        <v>2023</v>
      </c>
      <c r="O21" s="1310">
        <f t="shared" si="9"/>
        <v>2024</v>
      </c>
      <c r="P21" s="1310">
        <f t="shared" si="9"/>
        <v>2025</v>
      </c>
      <c r="Q21" s="1310">
        <f t="shared" si="9"/>
        <v>2026</v>
      </c>
      <c r="R21" s="1310">
        <f t="shared" si="9"/>
        <v>2027</v>
      </c>
      <c r="S21" s="1310">
        <f t="shared" si="9"/>
        <v>2028</v>
      </c>
      <c r="T21" s="1310">
        <f aca="true" t="shared" si="10" ref="T21:AC21">S21+1</f>
        <v>2029</v>
      </c>
      <c r="U21" s="1310">
        <f t="shared" si="10"/>
        <v>2030</v>
      </c>
      <c r="V21" s="1310">
        <f t="shared" si="10"/>
        <v>2031</v>
      </c>
      <c r="W21" s="1310">
        <f t="shared" si="10"/>
        <v>2032</v>
      </c>
      <c r="X21" s="1310">
        <f t="shared" si="10"/>
        <v>2033</v>
      </c>
      <c r="Y21" s="1310">
        <f t="shared" si="10"/>
        <v>2034</v>
      </c>
      <c r="Z21" s="1310">
        <f t="shared" si="10"/>
        <v>2035</v>
      </c>
      <c r="AA21" s="1310">
        <f t="shared" si="10"/>
        <v>2036</v>
      </c>
      <c r="AB21" s="1310">
        <f t="shared" si="10"/>
        <v>2037</v>
      </c>
      <c r="AC21" s="1312">
        <f t="shared" si="10"/>
        <v>2038</v>
      </c>
    </row>
    <row r="22" spans="1:29" ht="13.5" thickBot="1">
      <c r="A22" s="135"/>
      <c r="B22" s="361" t="s">
        <v>17</v>
      </c>
      <c r="C22" s="366" t="str">
        <f>IF('0 Úvod'!$M$3="English",Slovnik!D119,Slovnik!C119)</f>
        <v>Scenář bez projektu</v>
      </c>
      <c r="D22" s="362" t="str">
        <f>D3</f>
        <v>Celkem</v>
      </c>
      <c r="E22" s="1314"/>
      <c r="F22" s="1311"/>
      <c r="G22" s="1311"/>
      <c r="H22" s="1311"/>
      <c r="I22" s="1311"/>
      <c r="J22" s="1311"/>
      <c r="K22" s="1311"/>
      <c r="L22" s="1311"/>
      <c r="M22" s="1311"/>
      <c r="N22" s="1311"/>
      <c r="O22" s="1311"/>
      <c r="P22" s="1311"/>
      <c r="Q22" s="1311"/>
      <c r="R22" s="1311"/>
      <c r="S22" s="1311"/>
      <c r="T22" s="1311"/>
      <c r="U22" s="1311"/>
      <c r="V22" s="1311"/>
      <c r="W22" s="1311"/>
      <c r="X22" s="1311"/>
      <c r="Y22" s="1311"/>
      <c r="Z22" s="1311"/>
      <c r="AA22" s="1311"/>
      <c r="AB22" s="1311"/>
      <c r="AC22" s="1281"/>
    </row>
    <row r="23" spans="1:29" ht="12">
      <c r="A23" s="135"/>
      <c r="B23" s="641"/>
      <c r="C23" s="840" t="str">
        <f>IF($C$4="","",$C$4)</f>
        <v>Vodní díla</v>
      </c>
      <c r="D23" s="301">
        <f aca="true" t="shared" si="11" ref="D23:D28">SUM(E23:AC23,E32:AC32)</f>
        <v>0</v>
      </c>
      <c r="E23" s="1073"/>
      <c r="F23" s="1073"/>
      <c r="G23" s="1073"/>
      <c r="H23" s="1073"/>
      <c r="I23" s="1073"/>
      <c r="J23" s="1073"/>
      <c r="K23" s="1073"/>
      <c r="L23" s="1073"/>
      <c r="M23" s="1073"/>
      <c r="N23" s="1073"/>
      <c r="O23" s="1073"/>
      <c r="P23" s="1073"/>
      <c r="Q23" s="1073"/>
      <c r="R23" s="1073"/>
      <c r="S23" s="1073"/>
      <c r="T23" s="1073"/>
      <c r="U23" s="1073"/>
      <c r="V23" s="1073"/>
      <c r="W23" s="1073"/>
      <c r="X23" s="1073"/>
      <c r="Y23" s="1073"/>
      <c r="Z23" s="1073"/>
      <c r="AA23" s="1073"/>
      <c r="AB23" s="1073"/>
      <c r="AC23" s="1074"/>
    </row>
    <row r="24" spans="1:29" ht="12">
      <c r="A24" s="135"/>
      <c r="B24" s="655"/>
      <c r="C24" s="656" t="str">
        <f>IF($C$5="","",$C$5)</f>
        <v>Údržba toku - povodí Vltava</v>
      </c>
      <c r="D24" s="302">
        <f t="shared" si="11"/>
        <v>0</v>
      </c>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8"/>
    </row>
    <row r="25" spans="1:29" ht="12" customHeight="1">
      <c r="A25" s="135"/>
      <c r="B25" s="655"/>
      <c r="C25" s="656" t="str">
        <f>IF($C$6="","",$C$6)</f>
        <v>Periodické opravy</v>
      </c>
      <c r="D25" s="302">
        <f t="shared" si="11"/>
        <v>0</v>
      </c>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8"/>
    </row>
    <row r="26" spans="1:29" ht="12" customHeight="1">
      <c r="A26" s="135"/>
      <c r="B26" s="655"/>
      <c r="C26" s="656">
        <f>IF($C$7="","",$C$7)</f>
      </c>
      <c r="D26" s="302">
        <f t="shared" si="11"/>
        <v>0</v>
      </c>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8"/>
    </row>
    <row r="27" spans="1:29" ht="12" customHeight="1">
      <c r="A27" s="135"/>
      <c r="B27" s="657"/>
      <c r="C27" s="658">
        <f>IF($C$8="","",$C$8)</f>
      </c>
      <c r="D27" s="310">
        <f t="shared" si="11"/>
        <v>0</v>
      </c>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40"/>
    </row>
    <row r="28" spans="1:29" ht="12.75" thickBot="1">
      <c r="A28" s="135"/>
      <c r="B28" s="650"/>
      <c r="C28" s="659" t="str">
        <f>C9</f>
        <v>Celkové náklady</v>
      </c>
      <c r="D28" s="306">
        <f t="shared" si="11"/>
        <v>0</v>
      </c>
      <c r="E28" s="307">
        <f>SUM(E23:E27)</f>
        <v>0</v>
      </c>
      <c r="F28" s="308">
        <f>SUM(F23:F27)</f>
        <v>0</v>
      </c>
      <c r="G28" s="308">
        <f aca="true" t="shared" si="12" ref="G28:R28">SUM(G23:G27)</f>
        <v>0</v>
      </c>
      <c r="H28" s="308">
        <f t="shared" si="12"/>
        <v>0</v>
      </c>
      <c r="I28" s="308">
        <f t="shared" si="12"/>
        <v>0</v>
      </c>
      <c r="J28" s="308">
        <f t="shared" si="12"/>
        <v>0</v>
      </c>
      <c r="K28" s="308">
        <f t="shared" si="12"/>
        <v>0</v>
      </c>
      <c r="L28" s="308">
        <f t="shared" si="12"/>
        <v>0</v>
      </c>
      <c r="M28" s="308">
        <f t="shared" si="12"/>
        <v>0</v>
      </c>
      <c r="N28" s="308">
        <f t="shared" si="12"/>
        <v>0</v>
      </c>
      <c r="O28" s="308">
        <f t="shared" si="12"/>
        <v>0</v>
      </c>
      <c r="P28" s="308">
        <f t="shared" si="12"/>
        <v>0</v>
      </c>
      <c r="Q28" s="308">
        <f t="shared" si="12"/>
        <v>0</v>
      </c>
      <c r="R28" s="308">
        <f t="shared" si="12"/>
        <v>0</v>
      </c>
      <c r="S28" s="308">
        <f>SUM(S23:S27)</f>
        <v>0</v>
      </c>
      <c r="T28" s="308">
        <f aca="true" t="shared" si="13" ref="T28:AC28">SUM(T23:T27)</f>
        <v>0</v>
      </c>
      <c r="U28" s="308">
        <f t="shared" si="13"/>
        <v>0</v>
      </c>
      <c r="V28" s="308">
        <f t="shared" si="13"/>
        <v>0</v>
      </c>
      <c r="W28" s="308">
        <f t="shared" si="13"/>
        <v>0</v>
      </c>
      <c r="X28" s="308">
        <f t="shared" si="13"/>
        <v>0</v>
      </c>
      <c r="Y28" s="308">
        <f t="shared" si="13"/>
        <v>0</v>
      </c>
      <c r="Z28" s="308">
        <f t="shared" si="13"/>
        <v>0</v>
      </c>
      <c r="AA28" s="308">
        <f t="shared" si="13"/>
        <v>0</v>
      </c>
      <c r="AB28" s="308">
        <f t="shared" si="13"/>
        <v>0</v>
      </c>
      <c r="AC28" s="309">
        <f t="shared" si="13"/>
        <v>0</v>
      </c>
    </row>
    <row r="29" spans="1:29" ht="12" thickBot="1">
      <c r="A29" s="135"/>
      <c r="B29" s="205"/>
      <c r="C29" s="135"/>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row>
    <row r="30" spans="2:29" ht="12.75">
      <c r="B30" s="330" t="s">
        <v>25</v>
      </c>
      <c r="C30" s="344" t="str">
        <f>C2</f>
        <v>Celková náklady údržby infrastruktury</v>
      </c>
      <c r="D30" s="363" t="str">
        <f>D21</f>
        <v>CZK</v>
      </c>
      <c r="E30" s="1313">
        <f>AC21+1</f>
        <v>2039</v>
      </c>
      <c r="F30" s="1310">
        <f aca="true" t="shared" si="14" ref="F30:S30">E30+1</f>
        <v>2040</v>
      </c>
      <c r="G30" s="1310">
        <f t="shared" si="14"/>
        <v>2041</v>
      </c>
      <c r="H30" s="1310">
        <f t="shared" si="14"/>
        <v>2042</v>
      </c>
      <c r="I30" s="1310">
        <f t="shared" si="14"/>
        <v>2043</v>
      </c>
      <c r="J30" s="1310">
        <f t="shared" si="14"/>
        <v>2044</v>
      </c>
      <c r="K30" s="1310">
        <f t="shared" si="14"/>
        <v>2045</v>
      </c>
      <c r="L30" s="1310">
        <f t="shared" si="14"/>
        <v>2046</v>
      </c>
      <c r="M30" s="1310">
        <f t="shared" si="14"/>
        <v>2047</v>
      </c>
      <c r="N30" s="1310">
        <f t="shared" si="14"/>
        <v>2048</v>
      </c>
      <c r="O30" s="1310">
        <f t="shared" si="14"/>
        <v>2049</v>
      </c>
      <c r="P30" s="1310">
        <f t="shared" si="14"/>
        <v>2050</v>
      </c>
      <c r="Q30" s="1310">
        <f t="shared" si="14"/>
        <v>2051</v>
      </c>
      <c r="R30" s="1310">
        <f t="shared" si="14"/>
        <v>2052</v>
      </c>
      <c r="S30" s="1310">
        <f t="shared" si="14"/>
        <v>2053</v>
      </c>
      <c r="T30" s="1310">
        <f aca="true" t="shared" si="15" ref="T30:AC30">S30+1</f>
        <v>2054</v>
      </c>
      <c r="U30" s="1310">
        <f t="shared" si="15"/>
        <v>2055</v>
      </c>
      <c r="V30" s="1310">
        <f t="shared" si="15"/>
        <v>2056</v>
      </c>
      <c r="W30" s="1310">
        <f t="shared" si="15"/>
        <v>2057</v>
      </c>
      <c r="X30" s="1310">
        <f t="shared" si="15"/>
        <v>2058</v>
      </c>
      <c r="Y30" s="1310">
        <f t="shared" si="15"/>
        <v>2059</v>
      </c>
      <c r="Z30" s="1310">
        <f t="shared" si="15"/>
        <v>2060</v>
      </c>
      <c r="AA30" s="1310">
        <f t="shared" si="15"/>
        <v>2061</v>
      </c>
      <c r="AB30" s="1310">
        <f t="shared" si="15"/>
        <v>2062</v>
      </c>
      <c r="AC30" s="1312">
        <f t="shared" si="15"/>
        <v>2063</v>
      </c>
    </row>
    <row r="31" spans="1:29" ht="13.5" thickBot="1">
      <c r="A31" s="135"/>
      <c r="B31" s="361" t="s">
        <v>19</v>
      </c>
      <c r="C31" s="364" t="str">
        <f>C22</f>
        <v>Scenář bez projektu</v>
      </c>
      <c r="D31" s="365"/>
      <c r="E31" s="1314">
        <f>S22+1</f>
        <v>1</v>
      </c>
      <c r="F31" s="1311"/>
      <c r="G31" s="1311"/>
      <c r="H31" s="1311"/>
      <c r="I31" s="1311"/>
      <c r="J31" s="1311"/>
      <c r="K31" s="1311"/>
      <c r="L31" s="1311"/>
      <c r="M31" s="1311"/>
      <c r="N31" s="1311"/>
      <c r="O31" s="1311"/>
      <c r="P31" s="1311"/>
      <c r="Q31" s="1311"/>
      <c r="R31" s="1311"/>
      <c r="S31" s="1311"/>
      <c r="T31" s="1311"/>
      <c r="U31" s="1311"/>
      <c r="V31" s="1311"/>
      <c r="W31" s="1311"/>
      <c r="X31" s="1311"/>
      <c r="Y31" s="1311"/>
      <c r="Z31" s="1311"/>
      <c r="AA31" s="1311"/>
      <c r="AB31" s="1311"/>
      <c r="AC31" s="1281"/>
    </row>
    <row r="32" spans="1:29" ht="12">
      <c r="A32" s="135"/>
      <c r="B32" s="641"/>
      <c r="C32" s="642" t="str">
        <f>IF($C$4="","",$C$4)</f>
        <v>Vodní díla</v>
      </c>
      <c r="D32" s="653"/>
      <c r="E32" s="1075"/>
      <c r="F32" s="1075"/>
      <c r="G32" s="1075"/>
      <c r="H32" s="1075"/>
      <c r="I32" s="1075"/>
      <c r="J32" s="1075"/>
      <c r="K32" s="1075"/>
      <c r="L32" s="1075"/>
      <c r="M32" s="1075"/>
      <c r="N32" s="1075"/>
      <c r="O32" s="1075"/>
      <c r="P32" s="1075"/>
      <c r="Q32" s="1075"/>
      <c r="R32" s="1075"/>
      <c r="S32" s="1075"/>
      <c r="T32" s="1075"/>
      <c r="U32" s="1075"/>
      <c r="V32" s="1075"/>
      <c r="W32" s="1075"/>
      <c r="X32" s="1075"/>
      <c r="Y32" s="1075"/>
      <c r="Z32" s="1075"/>
      <c r="AA32" s="1075"/>
      <c r="AB32" s="1075"/>
      <c r="AC32" s="1076"/>
    </row>
    <row r="33" spans="1:29" ht="12">
      <c r="A33" s="135"/>
      <c r="B33" s="644"/>
      <c r="C33" s="645" t="str">
        <f>IF($C$5="","",$C$5)</f>
        <v>Údržba toku - povodí Vltava</v>
      </c>
      <c r="D33" s="646"/>
      <c r="E33" s="1077"/>
      <c r="F33" s="1077"/>
      <c r="G33" s="1077"/>
      <c r="H33" s="1077"/>
      <c r="I33" s="1077"/>
      <c r="J33" s="1077"/>
      <c r="K33" s="1077"/>
      <c r="L33" s="1077"/>
      <c r="M33" s="1077"/>
      <c r="N33" s="1077"/>
      <c r="O33" s="637"/>
      <c r="P33" s="637"/>
      <c r="Q33" s="637"/>
      <c r="R33" s="637"/>
      <c r="S33" s="637"/>
      <c r="T33" s="637"/>
      <c r="U33" s="637"/>
      <c r="V33" s="637"/>
      <c r="W33" s="637"/>
      <c r="X33" s="637"/>
      <c r="Y33" s="637"/>
      <c r="Z33" s="637"/>
      <c r="AA33" s="1077"/>
      <c r="AB33" s="1077"/>
      <c r="AC33" s="1078"/>
    </row>
    <row r="34" spans="1:29" ht="12">
      <c r="A34" s="135"/>
      <c r="B34" s="644"/>
      <c r="C34" s="645" t="str">
        <f>IF($C$6="","",$C$6)</f>
        <v>Periodické opravy</v>
      </c>
      <c r="D34" s="646"/>
      <c r="E34" s="1075"/>
      <c r="F34" s="1075"/>
      <c r="G34" s="1075"/>
      <c r="H34" s="1075"/>
      <c r="I34" s="1075"/>
      <c r="J34" s="1075"/>
      <c r="K34" s="1075"/>
      <c r="L34" s="1075"/>
      <c r="M34" s="1075"/>
      <c r="N34" s="1075"/>
      <c r="O34" s="1075"/>
      <c r="P34" s="1075"/>
      <c r="Q34" s="1075"/>
      <c r="R34" s="1075"/>
      <c r="S34" s="1075"/>
      <c r="T34" s="1075"/>
      <c r="U34" s="1075"/>
      <c r="V34" s="1075"/>
      <c r="W34" s="1075"/>
      <c r="X34" s="1075"/>
      <c r="Y34" s="1075"/>
      <c r="Z34" s="1075"/>
      <c r="AA34" s="1075"/>
      <c r="AB34" s="1075"/>
      <c r="AC34" s="1076"/>
    </row>
    <row r="35" spans="1:29" ht="12">
      <c r="A35" s="135"/>
      <c r="B35" s="644"/>
      <c r="C35" s="645">
        <f>IF($C$7="","",$C$7)</f>
      </c>
      <c r="D35" s="646"/>
      <c r="E35" s="1075"/>
      <c r="F35" s="1075"/>
      <c r="G35" s="1075"/>
      <c r="H35" s="1075"/>
      <c r="I35" s="1075"/>
      <c r="J35" s="1075"/>
      <c r="K35" s="1075"/>
      <c r="L35" s="1075"/>
      <c r="M35" s="1075"/>
      <c r="N35" s="1075"/>
      <c r="O35" s="1075"/>
      <c r="P35" s="1075"/>
      <c r="Q35" s="1075"/>
      <c r="R35" s="1075"/>
      <c r="S35" s="1075"/>
      <c r="T35" s="1075"/>
      <c r="U35" s="1075"/>
      <c r="V35" s="1075"/>
      <c r="W35" s="1075"/>
      <c r="X35" s="1075"/>
      <c r="Y35" s="1075"/>
      <c r="Z35" s="1075"/>
      <c r="AA35" s="1075"/>
      <c r="AB35" s="1075"/>
      <c r="AC35" s="1076"/>
    </row>
    <row r="36" spans="1:29" ht="12">
      <c r="A36" s="135"/>
      <c r="B36" s="647"/>
      <c r="C36" s="648">
        <f>IF($C$8="","",$C$8)</f>
      </c>
      <c r="D36" s="649"/>
      <c r="E36" s="1079"/>
      <c r="F36" s="1079"/>
      <c r="G36" s="1079"/>
      <c r="H36" s="1079"/>
      <c r="I36" s="1079"/>
      <c r="J36" s="1079"/>
      <c r="K36" s="1079"/>
      <c r="L36" s="1079"/>
      <c r="M36" s="1079"/>
      <c r="N36" s="1079"/>
      <c r="O36" s="1079"/>
      <c r="P36" s="1079"/>
      <c r="Q36" s="1079"/>
      <c r="R36" s="1079"/>
      <c r="S36" s="1079"/>
      <c r="T36" s="1079"/>
      <c r="U36" s="1079"/>
      <c r="V36" s="1079"/>
      <c r="W36" s="1079"/>
      <c r="X36" s="1079"/>
      <c r="Y36" s="1079"/>
      <c r="Z36" s="1079"/>
      <c r="AA36" s="1079"/>
      <c r="AB36" s="1079"/>
      <c r="AC36" s="1080"/>
    </row>
    <row r="37" spans="1:29" ht="12.75" thickBot="1">
      <c r="A37" s="134"/>
      <c r="B37" s="650"/>
      <c r="C37" s="651" t="str">
        <f>C9</f>
        <v>Celkové náklady</v>
      </c>
      <c r="D37" s="652"/>
      <c r="E37" s="299">
        <f>SUM(E32:E36)</f>
        <v>0</v>
      </c>
      <c r="F37" s="299">
        <f>SUM(F32:F36)</f>
        <v>0</v>
      </c>
      <c r="G37" s="299">
        <f aca="true" t="shared" si="16" ref="G37:R37">SUM(G32:G36)</f>
        <v>0</v>
      </c>
      <c r="H37" s="299">
        <f t="shared" si="16"/>
        <v>0</v>
      </c>
      <c r="I37" s="299">
        <f t="shared" si="16"/>
        <v>0</v>
      </c>
      <c r="J37" s="299">
        <f t="shared" si="16"/>
        <v>0</v>
      </c>
      <c r="K37" s="299">
        <f t="shared" si="16"/>
        <v>0</v>
      </c>
      <c r="L37" s="299">
        <f t="shared" si="16"/>
        <v>0</v>
      </c>
      <c r="M37" s="299">
        <f t="shared" si="16"/>
        <v>0</v>
      </c>
      <c r="N37" s="299">
        <f t="shared" si="16"/>
        <v>0</v>
      </c>
      <c r="O37" s="299">
        <f t="shared" si="16"/>
        <v>0</v>
      </c>
      <c r="P37" s="299">
        <f t="shared" si="16"/>
        <v>0</v>
      </c>
      <c r="Q37" s="299">
        <f t="shared" si="16"/>
        <v>0</v>
      </c>
      <c r="R37" s="299">
        <f t="shared" si="16"/>
        <v>0</v>
      </c>
      <c r="S37" s="299">
        <f>SUM(S32:S36)</f>
        <v>0</v>
      </c>
      <c r="T37" s="299">
        <f aca="true" t="shared" si="17" ref="T37:AC37">SUM(T32:T36)</f>
        <v>0</v>
      </c>
      <c r="U37" s="299">
        <f t="shared" si="17"/>
        <v>0</v>
      </c>
      <c r="V37" s="299">
        <f t="shared" si="17"/>
        <v>0</v>
      </c>
      <c r="W37" s="299">
        <f t="shared" si="17"/>
        <v>0</v>
      </c>
      <c r="X37" s="299">
        <f t="shared" si="17"/>
        <v>0</v>
      </c>
      <c r="Y37" s="299">
        <f t="shared" si="17"/>
        <v>0</v>
      </c>
      <c r="Z37" s="299">
        <f t="shared" si="17"/>
        <v>0</v>
      </c>
      <c r="AA37" s="299">
        <f t="shared" si="17"/>
        <v>0</v>
      </c>
      <c r="AB37" s="299">
        <f t="shared" si="17"/>
        <v>0</v>
      </c>
      <c r="AC37" s="300">
        <f t="shared" si="17"/>
        <v>0</v>
      </c>
    </row>
    <row r="38" spans="1:29" ht="11.25">
      <c r="A38" s="134"/>
      <c r="B38" s="203"/>
      <c r="C38" s="134"/>
      <c r="D38" s="199"/>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row>
    <row r="39" spans="1:29" ht="12" thickBot="1">
      <c r="A39" s="135"/>
      <c r="B39" s="203"/>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row>
    <row r="40" spans="2:29" ht="12.75" customHeight="1">
      <c r="B40" s="330" t="s">
        <v>123</v>
      </c>
      <c r="C40" s="344" t="str">
        <f>C2</f>
        <v>Celková náklady údržby infrastruktury</v>
      </c>
      <c r="D40" s="332" t="str">
        <f>D2</f>
        <v>CZK</v>
      </c>
      <c r="E40" s="1313">
        <f>E2</f>
        <v>2014</v>
      </c>
      <c r="F40" s="1310">
        <f aca="true" t="shared" si="18" ref="F40:S40">E40+1</f>
        <v>2015</v>
      </c>
      <c r="G40" s="1310">
        <f t="shared" si="18"/>
        <v>2016</v>
      </c>
      <c r="H40" s="1310">
        <f t="shared" si="18"/>
        <v>2017</v>
      </c>
      <c r="I40" s="1310">
        <f t="shared" si="18"/>
        <v>2018</v>
      </c>
      <c r="J40" s="1310">
        <f t="shared" si="18"/>
        <v>2019</v>
      </c>
      <c r="K40" s="1310">
        <f t="shared" si="18"/>
        <v>2020</v>
      </c>
      <c r="L40" s="1310">
        <f t="shared" si="18"/>
        <v>2021</v>
      </c>
      <c r="M40" s="1310">
        <f t="shared" si="18"/>
        <v>2022</v>
      </c>
      <c r="N40" s="1310">
        <f t="shared" si="18"/>
        <v>2023</v>
      </c>
      <c r="O40" s="1310">
        <f t="shared" si="18"/>
        <v>2024</v>
      </c>
      <c r="P40" s="1310">
        <f t="shared" si="18"/>
        <v>2025</v>
      </c>
      <c r="Q40" s="1310">
        <f t="shared" si="18"/>
        <v>2026</v>
      </c>
      <c r="R40" s="1310">
        <f t="shared" si="18"/>
        <v>2027</v>
      </c>
      <c r="S40" s="1310">
        <f t="shared" si="18"/>
        <v>2028</v>
      </c>
      <c r="T40" s="1310">
        <f aca="true" t="shared" si="19" ref="T40:AC40">S40+1</f>
        <v>2029</v>
      </c>
      <c r="U40" s="1310">
        <f t="shared" si="19"/>
        <v>2030</v>
      </c>
      <c r="V40" s="1310">
        <f t="shared" si="19"/>
        <v>2031</v>
      </c>
      <c r="W40" s="1310">
        <f t="shared" si="19"/>
        <v>2032</v>
      </c>
      <c r="X40" s="1310">
        <f t="shared" si="19"/>
        <v>2033</v>
      </c>
      <c r="Y40" s="1310">
        <f t="shared" si="19"/>
        <v>2034</v>
      </c>
      <c r="Z40" s="1310">
        <f t="shared" si="19"/>
        <v>2035</v>
      </c>
      <c r="AA40" s="1310">
        <f t="shared" si="19"/>
        <v>2036</v>
      </c>
      <c r="AB40" s="1310">
        <f t="shared" si="19"/>
        <v>2037</v>
      </c>
      <c r="AC40" s="1312">
        <f t="shared" si="19"/>
        <v>2038</v>
      </c>
    </row>
    <row r="41" spans="2:29" ht="12.75" customHeight="1" thickBot="1">
      <c r="B41" s="361" t="s">
        <v>40</v>
      </c>
      <c r="C41" s="366" t="str">
        <f>IF('0 Úvod'!$M$3="English",Slovnik!D120,Slovnik!C120)</f>
        <v>Rozdíl mezi stavem s projektem a bez projektu</v>
      </c>
      <c r="D41" s="362" t="str">
        <f>D3</f>
        <v>Celkem</v>
      </c>
      <c r="E41" s="1314"/>
      <c r="F41" s="1311"/>
      <c r="G41" s="1311"/>
      <c r="H41" s="1311"/>
      <c r="I41" s="1311"/>
      <c r="J41" s="1311"/>
      <c r="K41" s="1311"/>
      <c r="L41" s="1311"/>
      <c r="M41" s="1311"/>
      <c r="N41" s="1311"/>
      <c r="O41" s="1311"/>
      <c r="P41" s="1311"/>
      <c r="Q41" s="1311"/>
      <c r="R41" s="1311"/>
      <c r="S41" s="1311"/>
      <c r="T41" s="1311"/>
      <c r="U41" s="1311"/>
      <c r="V41" s="1311"/>
      <c r="W41" s="1311"/>
      <c r="X41" s="1311"/>
      <c r="Y41" s="1311"/>
      <c r="Z41" s="1311"/>
      <c r="AA41" s="1311"/>
      <c r="AB41" s="1311"/>
      <c r="AC41" s="1281"/>
    </row>
    <row r="42" spans="1:29" ht="12.75" customHeight="1">
      <c r="A42" s="206"/>
      <c r="B42" s="1018"/>
      <c r="C42" s="840" t="str">
        <f>IF($C$4="","",$C$4)</f>
        <v>Vodní díla</v>
      </c>
      <c r="D42" s="302">
        <f aca="true" t="shared" si="20" ref="D42:D47">SUM(E42:AC42,E51:AC51)</f>
        <v>0</v>
      </c>
      <c r="E42" s="202">
        <f>(E4-E23)</f>
        <v>0</v>
      </c>
      <c r="F42" s="202">
        <f aca="true" t="shared" si="21" ref="F42:AC42">(F4-F23)</f>
        <v>0</v>
      </c>
      <c r="G42" s="202">
        <f t="shared" si="21"/>
        <v>0</v>
      </c>
      <c r="H42" s="202">
        <f t="shared" si="21"/>
        <v>0</v>
      </c>
      <c r="I42" s="202">
        <f t="shared" si="21"/>
        <v>0</v>
      </c>
      <c r="J42" s="202">
        <f t="shared" si="21"/>
        <v>0</v>
      </c>
      <c r="K42" s="202">
        <f t="shared" si="21"/>
        <v>0</v>
      </c>
      <c r="L42" s="202">
        <f t="shared" si="21"/>
        <v>0</v>
      </c>
      <c r="M42" s="202">
        <f t="shared" si="21"/>
        <v>0</v>
      </c>
      <c r="N42" s="202">
        <f t="shared" si="21"/>
        <v>0</v>
      </c>
      <c r="O42" s="202">
        <f t="shared" si="21"/>
        <v>0</v>
      </c>
      <c r="P42" s="202">
        <f t="shared" si="21"/>
        <v>0</v>
      </c>
      <c r="Q42" s="202">
        <f t="shared" si="21"/>
        <v>0</v>
      </c>
      <c r="R42" s="202">
        <f t="shared" si="21"/>
        <v>0</v>
      </c>
      <c r="S42" s="202">
        <f t="shared" si="21"/>
        <v>0</v>
      </c>
      <c r="T42" s="202">
        <f t="shared" si="21"/>
        <v>0</v>
      </c>
      <c r="U42" s="202">
        <f t="shared" si="21"/>
        <v>0</v>
      </c>
      <c r="V42" s="202">
        <f t="shared" si="21"/>
        <v>0</v>
      </c>
      <c r="W42" s="202">
        <f t="shared" si="21"/>
        <v>0</v>
      </c>
      <c r="X42" s="202">
        <f t="shared" si="21"/>
        <v>0</v>
      </c>
      <c r="Y42" s="202">
        <f t="shared" si="21"/>
        <v>0</v>
      </c>
      <c r="Z42" s="202">
        <f t="shared" si="21"/>
        <v>0</v>
      </c>
      <c r="AA42" s="202">
        <f t="shared" si="21"/>
        <v>0</v>
      </c>
      <c r="AB42" s="202">
        <f t="shared" si="21"/>
        <v>0</v>
      </c>
      <c r="AC42" s="298">
        <f t="shared" si="21"/>
        <v>0</v>
      </c>
    </row>
    <row r="43" spans="1:29" ht="12.75" customHeight="1">
      <c r="A43" s="206"/>
      <c r="B43" s="1019"/>
      <c r="C43" s="656" t="str">
        <f>IF($C$5="","",$C$5)</f>
        <v>Údržba toku - povodí Vltava</v>
      </c>
      <c r="D43" s="302">
        <f t="shared" si="20"/>
        <v>0</v>
      </c>
      <c r="E43" s="199">
        <f>(E5-E24)</f>
        <v>0</v>
      </c>
      <c r="F43" s="199">
        <f aca="true" t="shared" si="22" ref="F43:AC45">(F5-F24)</f>
        <v>0</v>
      </c>
      <c r="G43" s="199">
        <f t="shared" si="22"/>
        <v>0</v>
      </c>
      <c r="H43" s="199">
        <f t="shared" si="22"/>
        <v>0</v>
      </c>
      <c r="I43" s="199">
        <f t="shared" si="22"/>
        <v>0</v>
      </c>
      <c r="J43" s="199">
        <f t="shared" si="22"/>
        <v>0</v>
      </c>
      <c r="K43" s="199">
        <f t="shared" si="22"/>
        <v>0</v>
      </c>
      <c r="L43" s="199">
        <f>(L5-L24)</f>
        <v>0</v>
      </c>
      <c r="M43" s="199">
        <f>(M5-M24)</f>
        <v>0</v>
      </c>
      <c r="N43" s="199">
        <f>(N5-N24)</f>
        <v>0</v>
      </c>
      <c r="O43" s="199">
        <f t="shared" si="22"/>
        <v>0</v>
      </c>
      <c r="P43" s="199">
        <f t="shared" si="22"/>
        <v>0</v>
      </c>
      <c r="Q43" s="199">
        <f t="shared" si="22"/>
        <v>0</v>
      </c>
      <c r="R43" s="199">
        <f t="shared" si="22"/>
        <v>0</v>
      </c>
      <c r="S43" s="199">
        <f t="shared" si="22"/>
        <v>0</v>
      </c>
      <c r="T43" s="199">
        <f t="shared" si="22"/>
        <v>0</v>
      </c>
      <c r="U43" s="199">
        <f t="shared" si="22"/>
        <v>0</v>
      </c>
      <c r="V43" s="199">
        <f t="shared" si="22"/>
        <v>0</v>
      </c>
      <c r="W43" s="199">
        <f t="shared" si="22"/>
        <v>0</v>
      </c>
      <c r="X43" s="199">
        <f t="shared" si="22"/>
        <v>0</v>
      </c>
      <c r="Y43" s="199">
        <f t="shared" si="22"/>
        <v>0</v>
      </c>
      <c r="Z43" s="199">
        <f t="shared" si="22"/>
        <v>0</v>
      </c>
      <c r="AA43" s="199">
        <f t="shared" si="22"/>
        <v>0</v>
      </c>
      <c r="AB43" s="199">
        <f t="shared" si="22"/>
        <v>0</v>
      </c>
      <c r="AC43" s="297">
        <f t="shared" si="22"/>
        <v>0</v>
      </c>
    </row>
    <row r="44" spans="1:29" ht="12.75" customHeight="1">
      <c r="A44" s="206"/>
      <c r="B44" s="1019"/>
      <c r="C44" s="656" t="str">
        <f>IF($C$6="","",$C$6)</f>
        <v>Periodické opravy</v>
      </c>
      <c r="D44" s="302">
        <f t="shared" si="20"/>
        <v>0</v>
      </c>
      <c r="E44" s="202">
        <f>(E6-E25)</f>
        <v>0</v>
      </c>
      <c r="F44" s="202">
        <f>(F6-F25)</f>
        <v>0</v>
      </c>
      <c r="G44" s="202">
        <f>(G6-G25)</f>
        <v>0</v>
      </c>
      <c r="H44" s="202">
        <f>(H6-H25)</f>
        <v>0</v>
      </c>
      <c r="I44" s="202">
        <f>(I6-I25)</f>
        <v>0</v>
      </c>
      <c r="J44" s="202">
        <f>(J6-J25)</f>
        <v>0</v>
      </c>
      <c r="K44" s="202">
        <f>(K6-K25)</f>
        <v>0</v>
      </c>
      <c r="L44" s="202">
        <f>(L6-L25)</f>
        <v>0</v>
      </c>
      <c r="M44" s="202">
        <f>(M6-M25)</f>
        <v>0</v>
      </c>
      <c r="N44" s="202">
        <f>(N6-N25)</f>
        <v>0</v>
      </c>
      <c r="O44" s="202">
        <f>(O6-O25)</f>
        <v>0</v>
      </c>
      <c r="P44" s="202">
        <f>(P6-P25)</f>
        <v>0</v>
      </c>
      <c r="Q44" s="202">
        <f>(Q6-Q25)</f>
        <v>0</v>
      </c>
      <c r="R44" s="202">
        <f>(R6-R25)</f>
        <v>0</v>
      </c>
      <c r="S44" s="202">
        <f>(S6-S25)</f>
        <v>0</v>
      </c>
      <c r="T44" s="202">
        <f>(T6-T25)</f>
        <v>0</v>
      </c>
      <c r="U44" s="202">
        <f t="shared" si="22"/>
        <v>0</v>
      </c>
      <c r="V44" s="202">
        <f t="shared" si="22"/>
        <v>0</v>
      </c>
      <c r="W44" s="202">
        <f t="shared" si="22"/>
        <v>0</v>
      </c>
      <c r="X44" s="202">
        <f t="shared" si="22"/>
        <v>0</v>
      </c>
      <c r="Y44" s="202">
        <f t="shared" si="22"/>
        <v>0</v>
      </c>
      <c r="Z44" s="202">
        <f t="shared" si="22"/>
        <v>0</v>
      </c>
      <c r="AA44" s="202">
        <f t="shared" si="22"/>
        <v>0</v>
      </c>
      <c r="AB44" s="202">
        <f t="shared" si="22"/>
        <v>0</v>
      </c>
      <c r="AC44" s="298">
        <f t="shared" si="22"/>
        <v>0</v>
      </c>
    </row>
    <row r="45" spans="1:29" ht="12.75" customHeight="1">
      <c r="A45" s="206"/>
      <c r="B45" s="1019"/>
      <c r="C45" s="656">
        <f>IF($C$7="","",$C$7)</f>
      </c>
      <c r="D45" s="302">
        <f t="shared" si="20"/>
        <v>0</v>
      </c>
      <c r="E45" s="202">
        <f>(E7-E26)</f>
        <v>0</v>
      </c>
      <c r="F45" s="202">
        <f t="shared" si="22"/>
        <v>0</v>
      </c>
      <c r="G45" s="202">
        <f t="shared" si="22"/>
        <v>0</v>
      </c>
      <c r="H45" s="202">
        <f t="shared" si="22"/>
        <v>0</v>
      </c>
      <c r="I45" s="202">
        <f t="shared" si="22"/>
        <v>0</v>
      </c>
      <c r="J45" s="202">
        <f t="shared" si="22"/>
        <v>0</v>
      </c>
      <c r="K45" s="202">
        <f t="shared" si="22"/>
        <v>0</v>
      </c>
      <c r="L45" s="202">
        <f>(L7-L26)</f>
        <v>0</v>
      </c>
      <c r="M45" s="202">
        <f>(M7-M26)</f>
        <v>0</v>
      </c>
      <c r="N45" s="202">
        <f>(N7-N26)</f>
        <v>0</v>
      </c>
      <c r="O45" s="202">
        <f t="shared" si="22"/>
        <v>0</v>
      </c>
      <c r="P45" s="202">
        <f t="shared" si="22"/>
        <v>0</v>
      </c>
      <c r="Q45" s="202">
        <f t="shared" si="22"/>
        <v>0</v>
      </c>
      <c r="R45" s="202">
        <f t="shared" si="22"/>
        <v>0</v>
      </c>
      <c r="S45" s="202">
        <f t="shared" si="22"/>
        <v>0</v>
      </c>
      <c r="T45" s="202">
        <f t="shared" si="22"/>
        <v>0</v>
      </c>
      <c r="U45" s="202">
        <f t="shared" si="22"/>
        <v>0</v>
      </c>
      <c r="V45" s="202">
        <f t="shared" si="22"/>
        <v>0</v>
      </c>
      <c r="W45" s="202">
        <f t="shared" si="22"/>
        <v>0</v>
      </c>
      <c r="X45" s="202">
        <f t="shared" si="22"/>
        <v>0</v>
      </c>
      <c r="Y45" s="202">
        <f t="shared" si="22"/>
        <v>0</v>
      </c>
      <c r="Z45" s="202">
        <f t="shared" si="22"/>
        <v>0</v>
      </c>
      <c r="AA45" s="202">
        <f t="shared" si="22"/>
        <v>0</v>
      </c>
      <c r="AB45" s="202">
        <f t="shared" si="22"/>
        <v>0</v>
      </c>
      <c r="AC45" s="298">
        <f t="shared" si="22"/>
        <v>0</v>
      </c>
    </row>
    <row r="46" spans="1:29" ht="12.75" customHeight="1">
      <c r="A46" s="206"/>
      <c r="B46" s="1020"/>
      <c r="C46" s="658">
        <f>IF($C$8="","",$C$8)</f>
      </c>
      <c r="D46" s="310">
        <f t="shared" si="20"/>
        <v>0</v>
      </c>
      <c r="E46" s="311">
        <f>(E8-E27)</f>
        <v>0</v>
      </c>
      <c r="F46" s="311">
        <f aca="true" t="shared" si="23" ref="F46:AC46">(F8-F27)</f>
        <v>0</v>
      </c>
      <c r="G46" s="311">
        <f t="shared" si="23"/>
        <v>0</v>
      </c>
      <c r="H46" s="311">
        <f t="shared" si="23"/>
        <v>0</v>
      </c>
      <c r="I46" s="311">
        <f t="shared" si="23"/>
        <v>0</v>
      </c>
      <c r="J46" s="311">
        <f t="shared" si="23"/>
        <v>0</v>
      </c>
      <c r="K46" s="311">
        <f t="shared" si="23"/>
        <v>0</v>
      </c>
      <c r="L46" s="311">
        <f t="shared" si="23"/>
        <v>0</v>
      </c>
      <c r="M46" s="311">
        <f t="shared" si="23"/>
        <v>0</v>
      </c>
      <c r="N46" s="311">
        <f t="shared" si="23"/>
        <v>0</v>
      </c>
      <c r="O46" s="311">
        <f t="shared" si="23"/>
        <v>0</v>
      </c>
      <c r="P46" s="311">
        <f t="shared" si="23"/>
        <v>0</v>
      </c>
      <c r="Q46" s="311">
        <f t="shared" si="23"/>
        <v>0</v>
      </c>
      <c r="R46" s="311">
        <f t="shared" si="23"/>
        <v>0</v>
      </c>
      <c r="S46" s="311">
        <f t="shared" si="23"/>
        <v>0</v>
      </c>
      <c r="T46" s="311">
        <f t="shared" si="23"/>
        <v>0</v>
      </c>
      <c r="U46" s="311">
        <f t="shared" si="23"/>
        <v>0</v>
      </c>
      <c r="V46" s="311">
        <f t="shared" si="23"/>
        <v>0</v>
      </c>
      <c r="W46" s="311">
        <f t="shared" si="23"/>
        <v>0</v>
      </c>
      <c r="X46" s="311">
        <f t="shared" si="23"/>
        <v>0</v>
      </c>
      <c r="Y46" s="311">
        <f t="shared" si="23"/>
        <v>0</v>
      </c>
      <c r="Z46" s="311">
        <f t="shared" si="23"/>
        <v>0</v>
      </c>
      <c r="AA46" s="311">
        <f t="shared" si="23"/>
        <v>0</v>
      </c>
      <c r="AB46" s="311">
        <f t="shared" si="23"/>
        <v>0</v>
      </c>
      <c r="AC46" s="312">
        <f t="shared" si="23"/>
        <v>0</v>
      </c>
    </row>
    <row r="47" spans="1:29" ht="12.75" thickBot="1">
      <c r="A47" s="135"/>
      <c r="B47" s="650"/>
      <c r="C47" s="659" t="str">
        <f>IF('0 Úvod'!$M$3="English",Slovnik!D118,Slovnik!C118)</f>
        <v>Přírůstkové celkové náklady</v>
      </c>
      <c r="D47" s="306">
        <f t="shared" si="20"/>
        <v>0</v>
      </c>
      <c r="E47" s="307">
        <f>SUM(E42:E46)</f>
        <v>0</v>
      </c>
      <c r="F47" s="308">
        <f>SUM(F42:F46)</f>
        <v>0</v>
      </c>
      <c r="G47" s="308">
        <f aca="true" t="shared" si="24" ref="G47:AC47">SUM(G42:G46)</f>
        <v>0</v>
      </c>
      <c r="H47" s="308">
        <f t="shared" si="24"/>
        <v>0</v>
      </c>
      <c r="I47" s="308">
        <f t="shared" si="24"/>
        <v>0</v>
      </c>
      <c r="J47" s="308">
        <f t="shared" si="24"/>
        <v>0</v>
      </c>
      <c r="K47" s="308">
        <f t="shared" si="24"/>
        <v>0</v>
      </c>
      <c r="L47" s="308">
        <f t="shared" si="24"/>
        <v>0</v>
      </c>
      <c r="M47" s="308">
        <f t="shared" si="24"/>
        <v>0</v>
      </c>
      <c r="N47" s="308">
        <f t="shared" si="24"/>
        <v>0</v>
      </c>
      <c r="O47" s="308">
        <f t="shared" si="24"/>
        <v>0</v>
      </c>
      <c r="P47" s="308">
        <f t="shared" si="24"/>
        <v>0</v>
      </c>
      <c r="Q47" s="308">
        <f t="shared" si="24"/>
        <v>0</v>
      </c>
      <c r="R47" s="308">
        <f t="shared" si="24"/>
        <v>0</v>
      </c>
      <c r="S47" s="308">
        <f t="shared" si="24"/>
        <v>0</v>
      </c>
      <c r="T47" s="308">
        <f t="shared" si="24"/>
        <v>0</v>
      </c>
      <c r="U47" s="308">
        <f t="shared" si="24"/>
        <v>0</v>
      </c>
      <c r="V47" s="308">
        <f t="shared" si="24"/>
        <v>0</v>
      </c>
      <c r="W47" s="308">
        <f t="shared" si="24"/>
        <v>0</v>
      </c>
      <c r="X47" s="308">
        <f t="shared" si="24"/>
        <v>0</v>
      </c>
      <c r="Y47" s="308">
        <f t="shared" si="24"/>
        <v>0</v>
      </c>
      <c r="Z47" s="308">
        <f t="shared" si="24"/>
        <v>0</v>
      </c>
      <c r="AA47" s="308">
        <f t="shared" si="24"/>
        <v>0</v>
      </c>
      <c r="AB47" s="308">
        <f t="shared" si="24"/>
        <v>0</v>
      </c>
      <c r="AC47" s="309">
        <f t="shared" si="24"/>
        <v>0</v>
      </c>
    </row>
    <row r="48" spans="1:29" ht="12" thickBot="1">
      <c r="A48" s="135"/>
      <c r="B48" s="201"/>
      <c r="C48" s="135"/>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row>
    <row r="49" spans="2:29" ht="12.75" customHeight="1">
      <c r="B49" s="330" t="s">
        <v>124</v>
      </c>
      <c r="C49" s="344" t="str">
        <f>C2</f>
        <v>Celková náklady údržby infrastruktury</v>
      </c>
      <c r="D49" s="332" t="str">
        <f>D11</f>
        <v>CZK</v>
      </c>
      <c r="E49" s="1313">
        <f>AC40+1</f>
        <v>2039</v>
      </c>
      <c r="F49" s="1310">
        <f aca="true" t="shared" si="25" ref="F49:S49">E49+1</f>
        <v>2040</v>
      </c>
      <c r="G49" s="1310">
        <f t="shared" si="25"/>
        <v>2041</v>
      </c>
      <c r="H49" s="1310">
        <f t="shared" si="25"/>
        <v>2042</v>
      </c>
      <c r="I49" s="1310">
        <f t="shared" si="25"/>
        <v>2043</v>
      </c>
      <c r="J49" s="1310">
        <f t="shared" si="25"/>
        <v>2044</v>
      </c>
      <c r="K49" s="1310">
        <f t="shared" si="25"/>
        <v>2045</v>
      </c>
      <c r="L49" s="1310">
        <f t="shared" si="25"/>
        <v>2046</v>
      </c>
      <c r="M49" s="1310">
        <f t="shared" si="25"/>
        <v>2047</v>
      </c>
      <c r="N49" s="1310">
        <f t="shared" si="25"/>
        <v>2048</v>
      </c>
      <c r="O49" s="1310">
        <f t="shared" si="25"/>
        <v>2049</v>
      </c>
      <c r="P49" s="1310">
        <f t="shared" si="25"/>
        <v>2050</v>
      </c>
      <c r="Q49" s="1310">
        <f t="shared" si="25"/>
        <v>2051</v>
      </c>
      <c r="R49" s="1310">
        <f t="shared" si="25"/>
        <v>2052</v>
      </c>
      <c r="S49" s="1310">
        <f t="shared" si="25"/>
        <v>2053</v>
      </c>
      <c r="T49" s="1310">
        <f aca="true" t="shared" si="26" ref="T49:AC49">S49+1</f>
        <v>2054</v>
      </c>
      <c r="U49" s="1310">
        <f t="shared" si="26"/>
        <v>2055</v>
      </c>
      <c r="V49" s="1310">
        <f t="shared" si="26"/>
        <v>2056</v>
      </c>
      <c r="W49" s="1310">
        <f t="shared" si="26"/>
        <v>2057</v>
      </c>
      <c r="X49" s="1310">
        <f t="shared" si="26"/>
        <v>2058</v>
      </c>
      <c r="Y49" s="1310">
        <f t="shared" si="26"/>
        <v>2059</v>
      </c>
      <c r="Z49" s="1310">
        <f t="shared" si="26"/>
        <v>2060</v>
      </c>
      <c r="AA49" s="1310">
        <f t="shared" si="26"/>
        <v>2061</v>
      </c>
      <c r="AB49" s="1310">
        <f t="shared" si="26"/>
        <v>2062</v>
      </c>
      <c r="AC49" s="1312">
        <f t="shared" si="26"/>
        <v>2063</v>
      </c>
    </row>
    <row r="50" spans="2:29" ht="12.75" customHeight="1" thickBot="1">
      <c r="B50" s="361" t="s">
        <v>40</v>
      </c>
      <c r="C50" s="364" t="str">
        <f>C41</f>
        <v>Rozdíl mezi stavem s projektem a bez projektu</v>
      </c>
      <c r="D50" s="365"/>
      <c r="E50" s="1314">
        <f>S41+1</f>
        <v>1</v>
      </c>
      <c r="F50" s="1311"/>
      <c r="G50" s="1311"/>
      <c r="H50" s="1311"/>
      <c r="I50" s="1311"/>
      <c r="J50" s="1311"/>
      <c r="K50" s="1311"/>
      <c r="L50" s="1311"/>
      <c r="M50" s="1311"/>
      <c r="N50" s="1311"/>
      <c r="O50" s="1311"/>
      <c r="P50" s="1311"/>
      <c r="Q50" s="1311"/>
      <c r="R50" s="1311"/>
      <c r="S50" s="1311"/>
      <c r="T50" s="1311"/>
      <c r="U50" s="1311"/>
      <c r="V50" s="1311"/>
      <c r="W50" s="1311"/>
      <c r="X50" s="1311"/>
      <c r="Y50" s="1311"/>
      <c r="Z50" s="1311"/>
      <c r="AA50" s="1311"/>
      <c r="AB50" s="1311"/>
      <c r="AC50" s="1281"/>
    </row>
    <row r="51" spans="1:29" ht="12.75" customHeight="1">
      <c r="A51" s="206"/>
      <c r="B51" s="1018"/>
      <c r="C51" s="642" t="str">
        <f>IF($C$4="","",$C$4)</f>
        <v>Vodní díla</v>
      </c>
      <c r="D51" s="643"/>
      <c r="E51" s="202">
        <f>(E13-E32)</f>
        <v>0</v>
      </c>
      <c r="F51" s="202">
        <f aca="true" t="shared" si="27" ref="F51:AC51">(F13-F32)</f>
        <v>0</v>
      </c>
      <c r="G51" s="202">
        <f t="shared" si="27"/>
        <v>0</v>
      </c>
      <c r="H51" s="202">
        <f t="shared" si="27"/>
        <v>0</v>
      </c>
      <c r="I51" s="202">
        <f t="shared" si="27"/>
        <v>0</v>
      </c>
      <c r="J51" s="202">
        <f t="shared" si="27"/>
        <v>0</v>
      </c>
      <c r="K51" s="202">
        <f t="shared" si="27"/>
        <v>0</v>
      </c>
      <c r="L51" s="202">
        <f t="shared" si="27"/>
        <v>0</v>
      </c>
      <c r="M51" s="202">
        <f t="shared" si="27"/>
        <v>0</v>
      </c>
      <c r="N51" s="202">
        <f t="shared" si="27"/>
        <v>0</v>
      </c>
      <c r="O51" s="202">
        <f t="shared" si="27"/>
        <v>0</v>
      </c>
      <c r="P51" s="202">
        <f t="shared" si="27"/>
        <v>0</v>
      </c>
      <c r="Q51" s="202">
        <f t="shared" si="27"/>
        <v>0</v>
      </c>
      <c r="R51" s="202">
        <f t="shared" si="27"/>
        <v>0</v>
      </c>
      <c r="S51" s="202">
        <f t="shared" si="27"/>
        <v>0</v>
      </c>
      <c r="T51" s="202">
        <f t="shared" si="27"/>
        <v>0</v>
      </c>
      <c r="U51" s="202">
        <f t="shared" si="27"/>
        <v>0</v>
      </c>
      <c r="V51" s="202">
        <f t="shared" si="27"/>
        <v>0</v>
      </c>
      <c r="W51" s="202">
        <f t="shared" si="27"/>
        <v>0</v>
      </c>
      <c r="X51" s="202">
        <f t="shared" si="27"/>
        <v>0</v>
      </c>
      <c r="Y51" s="202">
        <f t="shared" si="27"/>
        <v>0</v>
      </c>
      <c r="Z51" s="202">
        <f t="shared" si="27"/>
        <v>0</v>
      </c>
      <c r="AA51" s="202">
        <f t="shared" si="27"/>
        <v>0</v>
      </c>
      <c r="AB51" s="202">
        <f t="shared" si="27"/>
        <v>0</v>
      </c>
      <c r="AC51" s="298">
        <f t="shared" si="27"/>
        <v>0</v>
      </c>
    </row>
    <row r="52" spans="1:29" ht="12.75" customHeight="1">
      <c r="A52" s="206"/>
      <c r="B52" s="1019"/>
      <c r="C52" s="645" t="str">
        <f>IF($C$5="","",$C$5)</f>
        <v>Údržba toku - povodí Vltava</v>
      </c>
      <c r="D52" s="646"/>
      <c r="E52" s="199">
        <f>(E14-E33)</f>
        <v>0</v>
      </c>
      <c r="F52" s="199">
        <f aca="true" t="shared" si="28" ref="F52:AC55">(F14-F33)</f>
        <v>0</v>
      </c>
      <c r="G52" s="199">
        <f t="shared" si="28"/>
        <v>0</v>
      </c>
      <c r="H52" s="199">
        <f t="shared" si="28"/>
        <v>0</v>
      </c>
      <c r="I52" s="199">
        <f t="shared" si="28"/>
        <v>0</v>
      </c>
      <c r="J52" s="199">
        <f t="shared" si="28"/>
        <v>0</v>
      </c>
      <c r="K52" s="199">
        <f t="shared" si="28"/>
        <v>0</v>
      </c>
      <c r="L52" s="199">
        <f t="shared" si="28"/>
        <v>0</v>
      </c>
      <c r="M52" s="199">
        <f t="shared" si="28"/>
        <v>0</v>
      </c>
      <c r="N52" s="199">
        <f t="shared" si="28"/>
        <v>0</v>
      </c>
      <c r="O52" s="199">
        <f t="shared" si="28"/>
        <v>0</v>
      </c>
      <c r="P52" s="199">
        <f t="shared" si="28"/>
        <v>0</v>
      </c>
      <c r="Q52" s="199">
        <f t="shared" si="28"/>
        <v>0</v>
      </c>
      <c r="R52" s="199">
        <f t="shared" si="28"/>
        <v>0</v>
      </c>
      <c r="S52" s="199">
        <f t="shared" si="28"/>
        <v>0</v>
      </c>
      <c r="T52" s="199">
        <f t="shared" si="28"/>
        <v>0</v>
      </c>
      <c r="U52" s="199">
        <f t="shared" si="28"/>
        <v>0</v>
      </c>
      <c r="V52" s="199">
        <f t="shared" si="28"/>
        <v>0</v>
      </c>
      <c r="W52" s="199">
        <f t="shared" si="28"/>
        <v>0</v>
      </c>
      <c r="X52" s="199">
        <f t="shared" si="28"/>
        <v>0</v>
      </c>
      <c r="Y52" s="199">
        <f t="shared" si="28"/>
        <v>0</v>
      </c>
      <c r="Z52" s="199">
        <f t="shared" si="28"/>
        <v>0</v>
      </c>
      <c r="AA52" s="199">
        <f t="shared" si="28"/>
        <v>0</v>
      </c>
      <c r="AB52" s="199">
        <f t="shared" si="28"/>
        <v>0</v>
      </c>
      <c r="AC52" s="297">
        <f t="shared" si="28"/>
        <v>0</v>
      </c>
    </row>
    <row r="53" spans="1:29" ht="12.75" customHeight="1">
      <c r="A53" s="206"/>
      <c r="B53" s="1019"/>
      <c r="C53" s="645" t="str">
        <f>IF($C$6="","",$C$6)</f>
        <v>Periodické opravy</v>
      </c>
      <c r="D53" s="646"/>
      <c r="E53" s="202">
        <f>(E15-E34)</f>
        <v>0</v>
      </c>
      <c r="F53" s="202">
        <f>(F15-F34)</f>
        <v>0</v>
      </c>
      <c r="G53" s="202">
        <f>(G15-G34)</f>
        <v>0</v>
      </c>
      <c r="H53" s="202">
        <f>(H15-H34)</f>
        <v>0</v>
      </c>
      <c r="I53" s="202">
        <f>(I15-I34)</f>
        <v>0</v>
      </c>
      <c r="J53" s="202">
        <f>(J15-J34)</f>
        <v>0</v>
      </c>
      <c r="K53" s="202">
        <f>(K15-K34)</f>
        <v>0</v>
      </c>
      <c r="L53" s="202">
        <f>(L15-L34)</f>
        <v>0</v>
      </c>
      <c r="M53" s="202">
        <f>(M15-M34)</f>
        <v>0</v>
      </c>
      <c r="N53" s="202">
        <f>(N15-N34)</f>
        <v>0</v>
      </c>
      <c r="O53" s="202">
        <f>(O15-O34)</f>
        <v>0</v>
      </c>
      <c r="P53" s="202">
        <f>(P15-P34)</f>
        <v>0</v>
      </c>
      <c r="Q53" s="202">
        <f>(Q15-Q34)</f>
        <v>0</v>
      </c>
      <c r="R53" s="202">
        <f>(R15-R34)</f>
        <v>0</v>
      </c>
      <c r="S53" s="202">
        <f>(S15-S34)</f>
        <v>0</v>
      </c>
      <c r="T53" s="202">
        <f>(T15-T34)</f>
        <v>0</v>
      </c>
      <c r="U53" s="202">
        <f t="shared" si="28"/>
        <v>0</v>
      </c>
      <c r="V53" s="202">
        <f t="shared" si="28"/>
        <v>0</v>
      </c>
      <c r="W53" s="202">
        <f t="shared" si="28"/>
        <v>0</v>
      </c>
      <c r="X53" s="202">
        <f t="shared" si="28"/>
        <v>0</v>
      </c>
      <c r="Y53" s="202">
        <f t="shared" si="28"/>
        <v>0</v>
      </c>
      <c r="Z53" s="202">
        <f t="shared" si="28"/>
        <v>0</v>
      </c>
      <c r="AA53" s="202">
        <f t="shared" si="28"/>
        <v>0</v>
      </c>
      <c r="AB53" s="202">
        <f t="shared" si="28"/>
        <v>0</v>
      </c>
      <c r="AC53" s="298">
        <f t="shared" si="28"/>
        <v>0</v>
      </c>
    </row>
    <row r="54" spans="1:29" ht="12.75" customHeight="1">
      <c r="A54" s="206"/>
      <c r="B54" s="1019"/>
      <c r="C54" s="645">
        <f>IF($C$7="","",$C$7)</f>
      </c>
      <c r="D54" s="646"/>
      <c r="E54" s="202">
        <f>(E16-E35)</f>
        <v>0</v>
      </c>
      <c r="F54" s="202">
        <f t="shared" si="28"/>
        <v>0</v>
      </c>
      <c r="G54" s="202">
        <f t="shared" si="28"/>
        <v>0</v>
      </c>
      <c r="H54" s="202">
        <f t="shared" si="28"/>
        <v>0</v>
      </c>
      <c r="I54" s="202">
        <f t="shared" si="28"/>
        <v>0</v>
      </c>
      <c r="J54" s="202">
        <f t="shared" si="28"/>
        <v>0</v>
      </c>
      <c r="K54" s="202">
        <f t="shared" si="28"/>
        <v>0</v>
      </c>
      <c r="L54" s="202">
        <f t="shared" si="28"/>
        <v>0</v>
      </c>
      <c r="M54" s="202">
        <f t="shared" si="28"/>
        <v>0</v>
      </c>
      <c r="N54" s="202">
        <f t="shared" si="28"/>
        <v>0</v>
      </c>
      <c r="O54" s="202">
        <f t="shared" si="28"/>
        <v>0</v>
      </c>
      <c r="P54" s="202">
        <f t="shared" si="28"/>
        <v>0</v>
      </c>
      <c r="Q54" s="202">
        <f t="shared" si="28"/>
        <v>0</v>
      </c>
      <c r="R54" s="202">
        <f t="shared" si="28"/>
        <v>0</v>
      </c>
      <c r="S54" s="202">
        <f t="shared" si="28"/>
        <v>0</v>
      </c>
      <c r="T54" s="202">
        <f t="shared" si="28"/>
        <v>0</v>
      </c>
      <c r="U54" s="202">
        <f t="shared" si="28"/>
        <v>0</v>
      </c>
      <c r="V54" s="202">
        <f t="shared" si="28"/>
        <v>0</v>
      </c>
      <c r="W54" s="202">
        <f t="shared" si="28"/>
        <v>0</v>
      </c>
      <c r="X54" s="202">
        <f t="shared" si="28"/>
        <v>0</v>
      </c>
      <c r="Y54" s="202">
        <f t="shared" si="28"/>
        <v>0</v>
      </c>
      <c r="Z54" s="202">
        <f t="shared" si="28"/>
        <v>0</v>
      </c>
      <c r="AA54" s="202">
        <f t="shared" si="28"/>
        <v>0</v>
      </c>
      <c r="AB54" s="202">
        <f t="shared" si="28"/>
        <v>0</v>
      </c>
      <c r="AC54" s="298">
        <f t="shared" si="28"/>
        <v>0</v>
      </c>
    </row>
    <row r="55" spans="1:29" ht="12.75" customHeight="1">
      <c r="A55" s="206"/>
      <c r="B55" s="1020"/>
      <c r="C55" s="648">
        <f>IF($C$8="","",$C$8)</f>
      </c>
      <c r="D55" s="649"/>
      <c r="E55" s="311">
        <f>(E17-E36)</f>
        <v>0</v>
      </c>
      <c r="F55" s="311">
        <f t="shared" si="28"/>
        <v>0</v>
      </c>
      <c r="G55" s="311">
        <f t="shared" si="28"/>
        <v>0</v>
      </c>
      <c r="H55" s="311">
        <f t="shared" si="28"/>
        <v>0</v>
      </c>
      <c r="I55" s="311">
        <f t="shared" si="28"/>
        <v>0</v>
      </c>
      <c r="J55" s="311">
        <f t="shared" si="28"/>
        <v>0</v>
      </c>
      <c r="K55" s="311">
        <f t="shared" si="28"/>
        <v>0</v>
      </c>
      <c r="L55" s="311">
        <f t="shared" si="28"/>
        <v>0</v>
      </c>
      <c r="M55" s="311">
        <f t="shared" si="28"/>
        <v>0</v>
      </c>
      <c r="N55" s="311">
        <f t="shared" si="28"/>
        <v>0</v>
      </c>
      <c r="O55" s="311">
        <f t="shared" si="28"/>
        <v>0</v>
      </c>
      <c r="P55" s="311">
        <f t="shared" si="28"/>
        <v>0</v>
      </c>
      <c r="Q55" s="311">
        <f t="shared" si="28"/>
        <v>0</v>
      </c>
      <c r="R55" s="311">
        <f t="shared" si="28"/>
        <v>0</v>
      </c>
      <c r="S55" s="311">
        <f t="shared" si="28"/>
        <v>0</v>
      </c>
      <c r="T55" s="311">
        <f t="shared" si="28"/>
        <v>0</v>
      </c>
      <c r="U55" s="311">
        <f t="shared" si="28"/>
        <v>0</v>
      </c>
      <c r="V55" s="311">
        <f t="shared" si="28"/>
        <v>0</v>
      </c>
      <c r="W55" s="311">
        <f t="shared" si="28"/>
        <v>0</v>
      </c>
      <c r="X55" s="311">
        <f t="shared" si="28"/>
        <v>0</v>
      </c>
      <c r="Y55" s="311">
        <f t="shared" si="28"/>
        <v>0</v>
      </c>
      <c r="Z55" s="311">
        <f t="shared" si="28"/>
        <v>0</v>
      </c>
      <c r="AA55" s="311">
        <f t="shared" si="28"/>
        <v>0</v>
      </c>
      <c r="AB55" s="311">
        <f t="shared" si="28"/>
        <v>0</v>
      </c>
      <c r="AC55" s="312">
        <f t="shared" si="28"/>
        <v>0</v>
      </c>
    </row>
    <row r="56" spans="1:29" ht="12.75" thickBot="1">
      <c r="A56" s="135"/>
      <c r="B56" s="650"/>
      <c r="C56" s="651" t="str">
        <f>C47</f>
        <v>Přírůstkové celkové náklady</v>
      </c>
      <c r="D56" s="652"/>
      <c r="E56" s="307">
        <f aca="true" t="shared" si="29" ref="E56:AC56">SUM(E51:E55)</f>
        <v>0</v>
      </c>
      <c r="F56" s="308">
        <f t="shared" si="29"/>
        <v>0</v>
      </c>
      <c r="G56" s="308">
        <f t="shared" si="29"/>
        <v>0</v>
      </c>
      <c r="H56" s="308">
        <f t="shared" si="29"/>
        <v>0</v>
      </c>
      <c r="I56" s="308">
        <f t="shared" si="29"/>
        <v>0</v>
      </c>
      <c r="J56" s="308">
        <f t="shared" si="29"/>
        <v>0</v>
      </c>
      <c r="K56" s="308">
        <f t="shared" si="29"/>
        <v>0</v>
      </c>
      <c r="L56" s="308">
        <f t="shared" si="29"/>
        <v>0</v>
      </c>
      <c r="M56" s="308">
        <f t="shared" si="29"/>
        <v>0</v>
      </c>
      <c r="N56" s="308">
        <f t="shared" si="29"/>
        <v>0</v>
      </c>
      <c r="O56" s="308">
        <f t="shared" si="29"/>
        <v>0</v>
      </c>
      <c r="P56" s="308">
        <f t="shared" si="29"/>
        <v>0</v>
      </c>
      <c r="Q56" s="308">
        <f t="shared" si="29"/>
        <v>0</v>
      </c>
      <c r="R56" s="308">
        <f t="shared" si="29"/>
        <v>0</v>
      </c>
      <c r="S56" s="308">
        <f t="shared" si="29"/>
        <v>0</v>
      </c>
      <c r="T56" s="308">
        <f t="shared" si="29"/>
        <v>0</v>
      </c>
      <c r="U56" s="308">
        <f t="shared" si="29"/>
        <v>0</v>
      </c>
      <c r="V56" s="308">
        <f t="shared" si="29"/>
        <v>0</v>
      </c>
      <c r="W56" s="308">
        <f t="shared" si="29"/>
        <v>0</v>
      </c>
      <c r="X56" s="308">
        <f t="shared" si="29"/>
        <v>0</v>
      </c>
      <c r="Y56" s="308">
        <f t="shared" si="29"/>
        <v>0</v>
      </c>
      <c r="Z56" s="308">
        <f t="shared" si="29"/>
        <v>0</v>
      </c>
      <c r="AA56" s="308">
        <f t="shared" si="29"/>
        <v>0</v>
      </c>
      <c r="AB56" s="308">
        <f t="shared" si="29"/>
        <v>0</v>
      </c>
      <c r="AC56" s="309">
        <f t="shared" si="29"/>
        <v>0</v>
      </c>
    </row>
    <row r="57" spans="1:19" ht="12">
      <c r="A57" s="135"/>
      <c r="B57" s="203"/>
      <c r="C57" s="207"/>
      <c r="D57" s="132"/>
      <c r="E57" s="204"/>
      <c r="F57" s="204"/>
      <c r="G57" s="204"/>
      <c r="H57" s="204"/>
      <c r="I57" s="204"/>
      <c r="J57" s="204"/>
      <c r="K57" s="204"/>
      <c r="L57" s="204"/>
      <c r="M57" s="204"/>
      <c r="N57" s="204"/>
      <c r="O57" s="204"/>
      <c r="P57" s="204"/>
      <c r="Q57" s="204"/>
      <c r="R57" s="204"/>
      <c r="S57" s="204"/>
    </row>
    <row r="58" ht="12" thickBot="1"/>
    <row r="59" spans="2:29" ht="12.75" customHeight="1">
      <c r="B59" s="155" t="s">
        <v>495</v>
      </c>
      <c r="C59" s="275" t="str">
        <f>C21</f>
        <v>Celková náklady údržby infrastruktury</v>
      </c>
      <c r="D59" s="156" t="str">
        <f>D21</f>
        <v>CZK</v>
      </c>
      <c r="E59" s="1321">
        <f>E21</f>
        <v>2014</v>
      </c>
      <c r="F59" s="1323">
        <f>E59+1</f>
        <v>2015</v>
      </c>
      <c r="G59" s="1323">
        <f>F59+1</f>
        <v>2016</v>
      </c>
      <c r="H59" s="1323">
        <f>G59+1</f>
        <v>2017</v>
      </c>
      <c r="I59" s="1323">
        <f>H59+1</f>
        <v>2018</v>
      </c>
      <c r="J59" s="1323">
        <f>I59+1</f>
        <v>2019</v>
      </c>
      <c r="K59" s="1323">
        <f>J59+1</f>
        <v>2020</v>
      </c>
      <c r="L59" s="1323">
        <f>K59+1</f>
        <v>2021</v>
      </c>
      <c r="M59" s="1323">
        <f>L59+1</f>
        <v>2022</v>
      </c>
      <c r="N59" s="1323">
        <f>M59+1</f>
        <v>2023</v>
      </c>
      <c r="O59" s="1323">
        <f>N59+1</f>
        <v>2024</v>
      </c>
      <c r="P59" s="1323">
        <f>O59+1</f>
        <v>2025</v>
      </c>
      <c r="Q59" s="1323">
        <f>P59+1</f>
        <v>2026</v>
      </c>
      <c r="R59" s="1323">
        <f>Q59+1</f>
        <v>2027</v>
      </c>
      <c r="S59" s="1323">
        <f>R59+1</f>
        <v>2028</v>
      </c>
      <c r="T59" s="1323">
        <f>S59+1</f>
        <v>2029</v>
      </c>
      <c r="U59" s="1323">
        <f>T59+1</f>
        <v>2030</v>
      </c>
      <c r="V59" s="1323">
        <f>U59+1</f>
        <v>2031</v>
      </c>
      <c r="W59" s="1323">
        <f>V59+1</f>
        <v>2032</v>
      </c>
      <c r="X59" s="1323">
        <f>W59+1</f>
        <v>2033</v>
      </c>
      <c r="Y59" s="1323">
        <f>X59+1</f>
        <v>2034</v>
      </c>
      <c r="Z59" s="1323">
        <f>Y59+1</f>
        <v>2035</v>
      </c>
      <c r="AA59" s="1323">
        <f>Z59+1</f>
        <v>2036</v>
      </c>
      <c r="AB59" s="1323">
        <f>AA59+1</f>
        <v>2037</v>
      </c>
      <c r="AC59" s="1325">
        <f>AB59+1</f>
        <v>2038</v>
      </c>
    </row>
    <row r="60" spans="2:29" ht="12.75" customHeight="1" thickBot="1">
      <c r="B60" s="323" t="s">
        <v>40</v>
      </c>
      <c r="C60" s="327" t="str">
        <f>IF('0 Úvod'!$M$3="English",Slovnik!D121,Slovnik!C121)</f>
        <v>s aplikací fiskální korekce</v>
      </c>
      <c r="D60" s="324" t="str">
        <f>D3</f>
        <v>Celkem</v>
      </c>
      <c r="E60" s="1322"/>
      <c r="F60" s="1324"/>
      <c r="G60" s="1324"/>
      <c r="H60" s="1324"/>
      <c r="I60" s="1324"/>
      <c r="J60" s="1324"/>
      <c r="K60" s="1324"/>
      <c r="L60" s="1324"/>
      <c r="M60" s="1324"/>
      <c r="N60" s="1324"/>
      <c r="O60" s="1324"/>
      <c r="P60" s="1324"/>
      <c r="Q60" s="1324"/>
      <c r="R60" s="1324"/>
      <c r="S60" s="1324"/>
      <c r="T60" s="1324"/>
      <c r="U60" s="1324"/>
      <c r="V60" s="1324"/>
      <c r="W60" s="1324"/>
      <c r="X60" s="1324"/>
      <c r="Y60" s="1324"/>
      <c r="Z60" s="1324"/>
      <c r="AA60" s="1324"/>
      <c r="AB60" s="1324"/>
      <c r="AC60" s="1326"/>
    </row>
    <row r="61" spans="1:29" ht="12.75" customHeight="1">
      <c r="A61" s="206"/>
      <c r="B61" s="1204">
        <v>0.86</v>
      </c>
      <c r="C61" s="839" t="str">
        <f>IF($C$4="","",$C$4)</f>
        <v>Vodní díla</v>
      </c>
      <c r="D61" s="302">
        <f aca="true" t="shared" si="30" ref="D61:D66">SUM(E61:AC61,E70:AC70)</f>
        <v>0</v>
      </c>
      <c r="E61" s="202">
        <f>E42*$B$61</f>
        <v>0</v>
      </c>
      <c r="F61" s="202">
        <f aca="true" t="shared" si="31" ref="F61:AC61">F42*$B$61</f>
        <v>0</v>
      </c>
      <c r="G61" s="202">
        <f t="shared" si="31"/>
        <v>0</v>
      </c>
      <c r="H61" s="202">
        <f t="shared" si="31"/>
        <v>0</v>
      </c>
      <c r="I61" s="202">
        <f t="shared" si="31"/>
        <v>0</v>
      </c>
      <c r="J61" s="202">
        <f t="shared" si="31"/>
        <v>0</v>
      </c>
      <c r="K61" s="202">
        <f t="shared" si="31"/>
        <v>0</v>
      </c>
      <c r="L61" s="202">
        <f t="shared" si="31"/>
        <v>0</v>
      </c>
      <c r="M61" s="202">
        <f t="shared" si="31"/>
        <v>0</v>
      </c>
      <c r="N61" s="202">
        <f t="shared" si="31"/>
        <v>0</v>
      </c>
      <c r="O61" s="202">
        <f t="shared" si="31"/>
        <v>0</v>
      </c>
      <c r="P61" s="202">
        <f t="shared" si="31"/>
        <v>0</v>
      </c>
      <c r="Q61" s="202">
        <f t="shared" si="31"/>
        <v>0</v>
      </c>
      <c r="R61" s="202">
        <f t="shared" si="31"/>
        <v>0</v>
      </c>
      <c r="S61" s="202">
        <f t="shared" si="31"/>
        <v>0</v>
      </c>
      <c r="T61" s="202">
        <f t="shared" si="31"/>
        <v>0</v>
      </c>
      <c r="U61" s="202">
        <f t="shared" si="31"/>
        <v>0</v>
      </c>
      <c r="V61" s="202">
        <f t="shared" si="31"/>
        <v>0</v>
      </c>
      <c r="W61" s="202">
        <f t="shared" si="31"/>
        <v>0</v>
      </c>
      <c r="X61" s="202">
        <f t="shared" si="31"/>
        <v>0</v>
      </c>
      <c r="Y61" s="202">
        <f t="shared" si="31"/>
        <v>0</v>
      </c>
      <c r="Z61" s="202">
        <f t="shared" si="31"/>
        <v>0</v>
      </c>
      <c r="AA61" s="202">
        <f t="shared" si="31"/>
        <v>0</v>
      </c>
      <c r="AB61" s="202">
        <f t="shared" si="31"/>
        <v>0</v>
      </c>
      <c r="AC61" s="298">
        <f t="shared" si="31"/>
        <v>0</v>
      </c>
    </row>
    <row r="62" spans="1:29" ht="12.75" customHeight="1">
      <c r="A62" s="206"/>
      <c r="B62" s="1205">
        <v>0.86</v>
      </c>
      <c r="C62" s="727" t="str">
        <f>IF($C$5="","",$C$5)</f>
        <v>Údržba toku - povodí Vltava</v>
      </c>
      <c r="D62" s="302">
        <f t="shared" si="30"/>
        <v>0</v>
      </c>
      <c r="E62" s="199">
        <f>E43*$B$62</f>
        <v>0</v>
      </c>
      <c r="F62" s="199">
        <f aca="true" t="shared" si="32" ref="F62:AC62">F43*$B$62</f>
        <v>0</v>
      </c>
      <c r="G62" s="199">
        <f t="shared" si="32"/>
        <v>0</v>
      </c>
      <c r="H62" s="199">
        <f t="shared" si="32"/>
        <v>0</v>
      </c>
      <c r="I62" s="199">
        <f t="shared" si="32"/>
        <v>0</v>
      </c>
      <c r="J62" s="199">
        <f t="shared" si="32"/>
        <v>0</v>
      </c>
      <c r="K62" s="199">
        <f t="shared" si="32"/>
        <v>0</v>
      </c>
      <c r="L62" s="199">
        <f>L43*$B$62</f>
        <v>0</v>
      </c>
      <c r="M62" s="199">
        <f>M43*$B$62</f>
        <v>0</v>
      </c>
      <c r="N62" s="199">
        <f>N43*$B$62</f>
        <v>0</v>
      </c>
      <c r="O62" s="199">
        <f t="shared" si="32"/>
        <v>0</v>
      </c>
      <c r="P62" s="199">
        <f t="shared" si="32"/>
        <v>0</v>
      </c>
      <c r="Q62" s="199">
        <f t="shared" si="32"/>
        <v>0</v>
      </c>
      <c r="R62" s="199">
        <f t="shared" si="32"/>
        <v>0</v>
      </c>
      <c r="S62" s="199">
        <f t="shared" si="32"/>
        <v>0</v>
      </c>
      <c r="T62" s="199">
        <f t="shared" si="32"/>
        <v>0</v>
      </c>
      <c r="U62" s="199">
        <f t="shared" si="32"/>
        <v>0</v>
      </c>
      <c r="V62" s="199">
        <f t="shared" si="32"/>
        <v>0</v>
      </c>
      <c r="W62" s="199">
        <f t="shared" si="32"/>
        <v>0</v>
      </c>
      <c r="X62" s="199">
        <f t="shared" si="32"/>
        <v>0</v>
      </c>
      <c r="Y62" s="199">
        <f t="shared" si="32"/>
        <v>0</v>
      </c>
      <c r="Z62" s="199">
        <f t="shared" si="32"/>
        <v>0</v>
      </c>
      <c r="AA62" s="199">
        <f t="shared" si="32"/>
        <v>0</v>
      </c>
      <c r="AB62" s="199">
        <f t="shared" si="32"/>
        <v>0</v>
      </c>
      <c r="AC62" s="297">
        <f t="shared" si="32"/>
        <v>0</v>
      </c>
    </row>
    <row r="63" spans="1:29" ht="12.75" customHeight="1">
      <c r="A63" s="206"/>
      <c r="B63" s="1205">
        <v>0.86</v>
      </c>
      <c r="C63" s="727" t="str">
        <f>IF($C$6="","",$C$6)</f>
        <v>Periodické opravy</v>
      </c>
      <c r="D63" s="302">
        <f t="shared" si="30"/>
        <v>0</v>
      </c>
      <c r="E63" s="202">
        <f>E44*$B$63</f>
        <v>0</v>
      </c>
      <c r="F63" s="202">
        <f aca="true" t="shared" si="33" ref="F63:AC63">F44*$B$63</f>
        <v>0</v>
      </c>
      <c r="G63" s="202">
        <f t="shared" si="33"/>
        <v>0</v>
      </c>
      <c r="H63" s="202">
        <f t="shared" si="33"/>
        <v>0</v>
      </c>
      <c r="I63" s="202">
        <f t="shared" si="33"/>
        <v>0</v>
      </c>
      <c r="J63" s="202">
        <f t="shared" si="33"/>
        <v>0</v>
      </c>
      <c r="K63" s="202">
        <f t="shared" si="33"/>
        <v>0</v>
      </c>
      <c r="L63" s="202">
        <f>L44*$B$63</f>
        <v>0</v>
      </c>
      <c r="M63" s="202">
        <f>M44*$B$63</f>
        <v>0</v>
      </c>
      <c r="N63" s="202">
        <f>N44*$B$63</f>
        <v>0</v>
      </c>
      <c r="O63" s="202">
        <f t="shared" si="33"/>
        <v>0</v>
      </c>
      <c r="P63" s="202">
        <f t="shared" si="33"/>
        <v>0</v>
      </c>
      <c r="Q63" s="202">
        <f t="shared" si="33"/>
        <v>0</v>
      </c>
      <c r="R63" s="202">
        <f t="shared" si="33"/>
        <v>0</v>
      </c>
      <c r="S63" s="202">
        <f t="shared" si="33"/>
        <v>0</v>
      </c>
      <c r="T63" s="202">
        <f t="shared" si="33"/>
        <v>0</v>
      </c>
      <c r="U63" s="202">
        <f t="shared" si="33"/>
        <v>0</v>
      </c>
      <c r="V63" s="202">
        <f t="shared" si="33"/>
        <v>0</v>
      </c>
      <c r="W63" s="202">
        <f t="shared" si="33"/>
        <v>0</v>
      </c>
      <c r="X63" s="202">
        <f t="shared" si="33"/>
        <v>0</v>
      </c>
      <c r="Y63" s="202">
        <f t="shared" si="33"/>
        <v>0</v>
      </c>
      <c r="Z63" s="202">
        <f t="shared" si="33"/>
        <v>0</v>
      </c>
      <c r="AA63" s="202">
        <f t="shared" si="33"/>
        <v>0</v>
      </c>
      <c r="AB63" s="202">
        <f t="shared" si="33"/>
        <v>0</v>
      </c>
      <c r="AC63" s="298">
        <f t="shared" si="33"/>
        <v>0</v>
      </c>
    </row>
    <row r="64" spans="1:29" ht="12.75" customHeight="1">
      <c r="A64" s="206"/>
      <c r="B64" s="1205"/>
      <c r="C64" s="727">
        <f>IF($C$7="","",$C$7)</f>
      </c>
      <c r="D64" s="302">
        <f t="shared" si="30"/>
        <v>0</v>
      </c>
      <c r="E64" s="202">
        <f>E45*$B$64</f>
        <v>0</v>
      </c>
      <c r="F64" s="202">
        <f aca="true" t="shared" si="34" ref="F64:AC64">F45*$B$64</f>
        <v>0</v>
      </c>
      <c r="G64" s="202">
        <f t="shared" si="34"/>
        <v>0</v>
      </c>
      <c r="H64" s="202">
        <f t="shared" si="34"/>
        <v>0</v>
      </c>
      <c r="I64" s="202">
        <f t="shared" si="34"/>
        <v>0</v>
      </c>
      <c r="J64" s="202">
        <f t="shared" si="34"/>
        <v>0</v>
      </c>
      <c r="K64" s="202">
        <f t="shared" si="34"/>
        <v>0</v>
      </c>
      <c r="L64" s="202">
        <f>L45*$B$64</f>
        <v>0</v>
      </c>
      <c r="M64" s="202">
        <f>M45*$B$64</f>
        <v>0</v>
      </c>
      <c r="N64" s="202">
        <f>N45*$B$64</f>
        <v>0</v>
      </c>
      <c r="O64" s="202">
        <f t="shared" si="34"/>
        <v>0</v>
      </c>
      <c r="P64" s="202">
        <f t="shared" si="34"/>
        <v>0</v>
      </c>
      <c r="Q64" s="202">
        <f t="shared" si="34"/>
        <v>0</v>
      </c>
      <c r="R64" s="202">
        <f t="shared" si="34"/>
        <v>0</v>
      </c>
      <c r="S64" s="202">
        <f t="shared" si="34"/>
        <v>0</v>
      </c>
      <c r="T64" s="202">
        <f t="shared" si="34"/>
        <v>0</v>
      </c>
      <c r="U64" s="202">
        <f t="shared" si="34"/>
        <v>0</v>
      </c>
      <c r="V64" s="202">
        <f t="shared" si="34"/>
        <v>0</v>
      </c>
      <c r="W64" s="202">
        <f t="shared" si="34"/>
        <v>0</v>
      </c>
      <c r="X64" s="202">
        <f t="shared" si="34"/>
        <v>0</v>
      </c>
      <c r="Y64" s="202">
        <f t="shared" si="34"/>
        <v>0</v>
      </c>
      <c r="Z64" s="202">
        <f t="shared" si="34"/>
        <v>0</v>
      </c>
      <c r="AA64" s="202">
        <f t="shared" si="34"/>
        <v>0</v>
      </c>
      <c r="AB64" s="202">
        <f t="shared" si="34"/>
        <v>0</v>
      </c>
      <c r="AC64" s="298">
        <f t="shared" si="34"/>
        <v>0</v>
      </c>
    </row>
    <row r="65" spans="1:29" ht="12.75" customHeight="1">
      <c r="A65" s="206"/>
      <c r="B65" s="1206"/>
      <c r="C65" s="729">
        <f>IF($C$8="","",$C$8)</f>
      </c>
      <c r="D65" s="310">
        <f t="shared" si="30"/>
        <v>0</v>
      </c>
      <c r="E65" s="311">
        <f>E46*$B$65</f>
        <v>0</v>
      </c>
      <c r="F65" s="311">
        <f aca="true" t="shared" si="35" ref="F65:AC65">F46*$B$65</f>
        <v>0</v>
      </c>
      <c r="G65" s="311">
        <f t="shared" si="35"/>
        <v>0</v>
      </c>
      <c r="H65" s="311">
        <f t="shared" si="35"/>
        <v>0</v>
      </c>
      <c r="I65" s="311">
        <f t="shared" si="35"/>
        <v>0</v>
      </c>
      <c r="J65" s="311">
        <f t="shared" si="35"/>
        <v>0</v>
      </c>
      <c r="K65" s="311">
        <f t="shared" si="35"/>
        <v>0</v>
      </c>
      <c r="L65" s="311">
        <f t="shared" si="35"/>
        <v>0</v>
      </c>
      <c r="M65" s="311">
        <f t="shared" si="35"/>
        <v>0</v>
      </c>
      <c r="N65" s="311">
        <f t="shared" si="35"/>
        <v>0</v>
      </c>
      <c r="O65" s="311">
        <f t="shared" si="35"/>
        <v>0</v>
      </c>
      <c r="P65" s="311">
        <f t="shared" si="35"/>
        <v>0</v>
      </c>
      <c r="Q65" s="311">
        <f t="shared" si="35"/>
        <v>0</v>
      </c>
      <c r="R65" s="311">
        <f t="shared" si="35"/>
        <v>0</v>
      </c>
      <c r="S65" s="311">
        <f t="shared" si="35"/>
        <v>0</v>
      </c>
      <c r="T65" s="311">
        <f t="shared" si="35"/>
        <v>0</v>
      </c>
      <c r="U65" s="311">
        <f t="shared" si="35"/>
        <v>0</v>
      </c>
      <c r="V65" s="311">
        <f t="shared" si="35"/>
        <v>0</v>
      </c>
      <c r="W65" s="311">
        <f t="shared" si="35"/>
        <v>0</v>
      </c>
      <c r="X65" s="311">
        <f t="shared" si="35"/>
        <v>0</v>
      </c>
      <c r="Y65" s="311">
        <f t="shared" si="35"/>
        <v>0</v>
      </c>
      <c r="Z65" s="311">
        <f t="shared" si="35"/>
        <v>0</v>
      </c>
      <c r="AA65" s="311">
        <f t="shared" si="35"/>
        <v>0</v>
      </c>
      <c r="AB65" s="311">
        <f t="shared" si="35"/>
        <v>0</v>
      </c>
      <c r="AC65" s="312">
        <f t="shared" si="35"/>
        <v>0</v>
      </c>
    </row>
    <row r="66" spans="1:29" ht="12.75" thickBot="1">
      <c r="A66" s="135"/>
      <c r="B66" s="730"/>
      <c r="C66" s="731" t="str">
        <f>C47</f>
        <v>Přírůstkové celkové náklady</v>
      </c>
      <c r="D66" s="306">
        <f t="shared" si="30"/>
        <v>0</v>
      </c>
      <c r="E66" s="307">
        <f>SUM(E61:E65)</f>
        <v>0</v>
      </c>
      <c r="F66" s="308">
        <f>SUM(F61:F65)</f>
        <v>0</v>
      </c>
      <c r="G66" s="308">
        <f aca="true" t="shared" si="36" ref="G66:AC66">SUM(G61:G65)</f>
        <v>0</v>
      </c>
      <c r="H66" s="308">
        <f t="shared" si="36"/>
        <v>0</v>
      </c>
      <c r="I66" s="308">
        <f t="shared" si="36"/>
        <v>0</v>
      </c>
      <c r="J66" s="308">
        <f t="shared" si="36"/>
        <v>0</v>
      </c>
      <c r="K66" s="308">
        <f t="shared" si="36"/>
        <v>0</v>
      </c>
      <c r="L66" s="308">
        <f t="shared" si="36"/>
        <v>0</v>
      </c>
      <c r="M66" s="308">
        <f t="shared" si="36"/>
        <v>0</v>
      </c>
      <c r="N66" s="308">
        <f t="shared" si="36"/>
        <v>0</v>
      </c>
      <c r="O66" s="308">
        <f t="shared" si="36"/>
        <v>0</v>
      </c>
      <c r="P66" s="308">
        <f t="shared" si="36"/>
        <v>0</v>
      </c>
      <c r="Q66" s="308">
        <f t="shared" si="36"/>
        <v>0</v>
      </c>
      <c r="R66" s="308">
        <f t="shared" si="36"/>
        <v>0</v>
      </c>
      <c r="S66" s="308">
        <f t="shared" si="36"/>
        <v>0</v>
      </c>
      <c r="T66" s="308">
        <f t="shared" si="36"/>
        <v>0</v>
      </c>
      <c r="U66" s="308">
        <f t="shared" si="36"/>
        <v>0</v>
      </c>
      <c r="V66" s="308">
        <f t="shared" si="36"/>
        <v>0</v>
      </c>
      <c r="W66" s="308">
        <f t="shared" si="36"/>
        <v>0</v>
      </c>
      <c r="X66" s="308">
        <f t="shared" si="36"/>
        <v>0</v>
      </c>
      <c r="Y66" s="308">
        <f t="shared" si="36"/>
        <v>0</v>
      </c>
      <c r="Z66" s="308">
        <f t="shared" si="36"/>
        <v>0</v>
      </c>
      <c r="AA66" s="308">
        <f t="shared" si="36"/>
        <v>0</v>
      </c>
      <c r="AB66" s="308">
        <f t="shared" si="36"/>
        <v>0</v>
      </c>
      <c r="AC66" s="309">
        <f t="shared" si="36"/>
        <v>0</v>
      </c>
    </row>
    <row r="67" spans="1:29" ht="12" thickBot="1">
      <c r="A67" s="135"/>
      <c r="B67" s="201"/>
      <c r="C67" s="135"/>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row>
    <row r="68" spans="2:29" ht="12.75" customHeight="1">
      <c r="B68" s="155" t="s">
        <v>496</v>
      </c>
      <c r="C68" s="275" t="str">
        <f>C21</f>
        <v>Celková náklady údržby infrastruktury</v>
      </c>
      <c r="D68" s="156" t="str">
        <f>D30</f>
        <v>CZK</v>
      </c>
      <c r="E68" s="1321">
        <f>AC59+1</f>
        <v>2039</v>
      </c>
      <c r="F68" s="1323">
        <f>E68+1</f>
        <v>2040</v>
      </c>
      <c r="G68" s="1323">
        <f>F68+1</f>
        <v>2041</v>
      </c>
      <c r="H68" s="1323">
        <f>G68+1</f>
        <v>2042</v>
      </c>
      <c r="I68" s="1323">
        <f>H68+1</f>
        <v>2043</v>
      </c>
      <c r="J68" s="1323">
        <f>I68+1</f>
        <v>2044</v>
      </c>
      <c r="K68" s="1323">
        <f>J68+1</f>
        <v>2045</v>
      </c>
      <c r="L68" s="1323">
        <f>K68+1</f>
        <v>2046</v>
      </c>
      <c r="M68" s="1323">
        <f>L68+1</f>
        <v>2047</v>
      </c>
      <c r="N68" s="1323">
        <f>M68+1</f>
        <v>2048</v>
      </c>
      <c r="O68" s="1323">
        <f>N68+1</f>
        <v>2049</v>
      </c>
      <c r="P68" s="1323">
        <f>O68+1</f>
        <v>2050</v>
      </c>
      <c r="Q68" s="1323">
        <f>P68+1</f>
        <v>2051</v>
      </c>
      <c r="R68" s="1323">
        <f>Q68+1</f>
        <v>2052</v>
      </c>
      <c r="S68" s="1323">
        <f>R68+1</f>
        <v>2053</v>
      </c>
      <c r="T68" s="1323">
        <f>S68+1</f>
        <v>2054</v>
      </c>
      <c r="U68" s="1323">
        <f>T68+1</f>
        <v>2055</v>
      </c>
      <c r="V68" s="1323">
        <f>U68+1</f>
        <v>2056</v>
      </c>
      <c r="W68" s="1323">
        <f>V68+1</f>
        <v>2057</v>
      </c>
      <c r="X68" s="1323">
        <f>W68+1</f>
        <v>2058</v>
      </c>
      <c r="Y68" s="1323">
        <f>X68+1</f>
        <v>2059</v>
      </c>
      <c r="Z68" s="1323">
        <f>Y68+1</f>
        <v>2060</v>
      </c>
      <c r="AA68" s="1323">
        <f>Z68+1</f>
        <v>2061</v>
      </c>
      <c r="AB68" s="1323">
        <f>AA68+1</f>
        <v>2062</v>
      </c>
      <c r="AC68" s="1325">
        <f>AB68+1</f>
        <v>2063</v>
      </c>
    </row>
    <row r="69" spans="2:29" ht="12.75" customHeight="1" thickBot="1">
      <c r="B69" s="323" t="s">
        <v>40</v>
      </c>
      <c r="C69" s="325" t="str">
        <f>C60</f>
        <v>s aplikací fiskální korekce</v>
      </c>
      <c r="D69" s="326"/>
      <c r="E69" s="1322">
        <f>S60+1</f>
        <v>1</v>
      </c>
      <c r="F69" s="1324"/>
      <c r="G69" s="1324"/>
      <c r="H69" s="1324"/>
      <c r="I69" s="1324"/>
      <c r="J69" s="1324"/>
      <c r="K69" s="1324"/>
      <c r="L69" s="1324"/>
      <c r="M69" s="1324"/>
      <c r="N69" s="1324"/>
      <c r="O69" s="1324"/>
      <c r="P69" s="1324"/>
      <c r="Q69" s="1324"/>
      <c r="R69" s="1324"/>
      <c r="S69" s="1324"/>
      <c r="T69" s="1324"/>
      <c r="U69" s="1324"/>
      <c r="V69" s="1324"/>
      <c r="W69" s="1324"/>
      <c r="X69" s="1324"/>
      <c r="Y69" s="1324"/>
      <c r="Z69" s="1324"/>
      <c r="AA69" s="1324"/>
      <c r="AB69" s="1324"/>
      <c r="AC69" s="1326"/>
    </row>
    <row r="70" spans="1:29" ht="12.75" customHeight="1">
      <c r="A70" s="206"/>
      <c r="B70" s="725">
        <f>B61</f>
        <v>0.86</v>
      </c>
      <c r="C70" s="732" t="str">
        <f>IF($C$4="","",$C$4)</f>
        <v>Vodní díla</v>
      </c>
      <c r="D70" s="733"/>
      <c r="E70" s="202">
        <f>E51*$B$61</f>
        <v>0</v>
      </c>
      <c r="F70" s="202">
        <f aca="true" t="shared" si="37" ref="F70:AC70">F51*$B$61</f>
        <v>0</v>
      </c>
      <c r="G70" s="202">
        <f t="shared" si="37"/>
        <v>0</v>
      </c>
      <c r="H70" s="202">
        <f t="shared" si="37"/>
        <v>0</v>
      </c>
      <c r="I70" s="202">
        <f t="shared" si="37"/>
        <v>0</v>
      </c>
      <c r="J70" s="202">
        <f t="shared" si="37"/>
        <v>0</v>
      </c>
      <c r="K70" s="202">
        <f t="shared" si="37"/>
        <v>0</v>
      </c>
      <c r="L70" s="202">
        <f t="shared" si="37"/>
        <v>0</v>
      </c>
      <c r="M70" s="202">
        <f t="shared" si="37"/>
        <v>0</v>
      </c>
      <c r="N70" s="202">
        <f t="shared" si="37"/>
        <v>0</v>
      </c>
      <c r="O70" s="202">
        <f t="shared" si="37"/>
        <v>0</v>
      </c>
      <c r="P70" s="202">
        <f t="shared" si="37"/>
        <v>0</v>
      </c>
      <c r="Q70" s="202">
        <f t="shared" si="37"/>
        <v>0</v>
      </c>
      <c r="R70" s="202">
        <f t="shared" si="37"/>
        <v>0</v>
      </c>
      <c r="S70" s="202">
        <f t="shared" si="37"/>
        <v>0</v>
      </c>
      <c r="T70" s="202">
        <f t="shared" si="37"/>
        <v>0</v>
      </c>
      <c r="U70" s="202">
        <f t="shared" si="37"/>
        <v>0</v>
      </c>
      <c r="V70" s="202">
        <f t="shared" si="37"/>
        <v>0</v>
      </c>
      <c r="W70" s="202">
        <f t="shared" si="37"/>
        <v>0</v>
      </c>
      <c r="X70" s="202">
        <f t="shared" si="37"/>
        <v>0</v>
      </c>
      <c r="Y70" s="202">
        <f t="shared" si="37"/>
        <v>0</v>
      </c>
      <c r="Z70" s="202">
        <f t="shared" si="37"/>
        <v>0</v>
      </c>
      <c r="AA70" s="202">
        <f t="shared" si="37"/>
        <v>0</v>
      </c>
      <c r="AB70" s="202">
        <f t="shared" si="37"/>
        <v>0</v>
      </c>
      <c r="AC70" s="298">
        <f t="shared" si="37"/>
        <v>0</v>
      </c>
    </row>
    <row r="71" spans="1:29" ht="12.75" customHeight="1">
      <c r="A71" s="206"/>
      <c r="B71" s="726">
        <f>B62</f>
        <v>0.86</v>
      </c>
      <c r="C71" s="734" t="str">
        <f>IF($C$5="","",$C$5)</f>
        <v>Údržba toku - povodí Vltava</v>
      </c>
      <c r="D71" s="735"/>
      <c r="E71" s="199">
        <f>E52*$B$62</f>
        <v>0</v>
      </c>
      <c r="F71" s="199">
        <f aca="true" t="shared" si="38" ref="F71:AC71">F52*$B$62</f>
        <v>0</v>
      </c>
      <c r="G71" s="199">
        <f t="shared" si="38"/>
        <v>0</v>
      </c>
      <c r="H71" s="199">
        <f t="shared" si="38"/>
        <v>0</v>
      </c>
      <c r="I71" s="199">
        <f t="shared" si="38"/>
        <v>0</v>
      </c>
      <c r="J71" s="199">
        <f t="shared" si="38"/>
        <v>0</v>
      </c>
      <c r="K71" s="199">
        <f t="shared" si="38"/>
        <v>0</v>
      </c>
      <c r="L71" s="199">
        <f t="shared" si="38"/>
        <v>0</v>
      </c>
      <c r="M71" s="199">
        <f t="shared" si="38"/>
        <v>0</v>
      </c>
      <c r="N71" s="199">
        <f t="shared" si="38"/>
        <v>0</v>
      </c>
      <c r="O71" s="199">
        <f t="shared" si="38"/>
        <v>0</v>
      </c>
      <c r="P71" s="199">
        <f t="shared" si="38"/>
        <v>0</v>
      </c>
      <c r="Q71" s="199">
        <f t="shared" si="38"/>
        <v>0</v>
      </c>
      <c r="R71" s="199">
        <f t="shared" si="38"/>
        <v>0</v>
      </c>
      <c r="S71" s="199">
        <f t="shared" si="38"/>
        <v>0</v>
      </c>
      <c r="T71" s="199">
        <f t="shared" si="38"/>
        <v>0</v>
      </c>
      <c r="U71" s="199">
        <f t="shared" si="38"/>
        <v>0</v>
      </c>
      <c r="V71" s="199">
        <f t="shared" si="38"/>
        <v>0</v>
      </c>
      <c r="W71" s="199">
        <f t="shared" si="38"/>
        <v>0</v>
      </c>
      <c r="X71" s="199">
        <f t="shared" si="38"/>
        <v>0</v>
      </c>
      <c r="Y71" s="199">
        <f t="shared" si="38"/>
        <v>0</v>
      </c>
      <c r="Z71" s="199">
        <f t="shared" si="38"/>
        <v>0</v>
      </c>
      <c r="AA71" s="199">
        <f t="shared" si="38"/>
        <v>0</v>
      </c>
      <c r="AB71" s="199">
        <f t="shared" si="38"/>
        <v>0</v>
      </c>
      <c r="AC71" s="297">
        <f t="shared" si="38"/>
        <v>0</v>
      </c>
    </row>
    <row r="72" spans="1:29" ht="12.75" customHeight="1">
      <c r="A72" s="206"/>
      <c r="B72" s="726">
        <f>B63</f>
        <v>0.86</v>
      </c>
      <c r="C72" s="734" t="str">
        <f>IF($C$6="","",$C$6)</f>
        <v>Periodické opravy</v>
      </c>
      <c r="D72" s="735"/>
      <c r="E72" s="202">
        <f>E53*$B$63</f>
        <v>0</v>
      </c>
      <c r="F72" s="202">
        <f aca="true" t="shared" si="39" ref="F72:AC72">F53*$B$63</f>
        <v>0</v>
      </c>
      <c r="G72" s="202">
        <f t="shared" si="39"/>
        <v>0</v>
      </c>
      <c r="H72" s="202">
        <f t="shared" si="39"/>
        <v>0</v>
      </c>
      <c r="I72" s="202">
        <f t="shared" si="39"/>
        <v>0</v>
      </c>
      <c r="J72" s="202">
        <f t="shared" si="39"/>
        <v>0</v>
      </c>
      <c r="K72" s="202">
        <f t="shared" si="39"/>
        <v>0</v>
      </c>
      <c r="L72" s="202">
        <f t="shared" si="39"/>
        <v>0</v>
      </c>
      <c r="M72" s="202">
        <f t="shared" si="39"/>
        <v>0</v>
      </c>
      <c r="N72" s="202">
        <f t="shared" si="39"/>
        <v>0</v>
      </c>
      <c r="O72" s="202">
        <f t="shared" si="39"/>
        <v>0</v>
      </c>
      <c r="P72" s="202">
        <f t="shared" si="39"/>
        <v>0</v>
      </c>
      <c r="Q72" s="202">
        <f t="shared" si="39"/>
        <v>0</v>
      </c>
      <c r="R72" s="202">
        <f t="shared" si="39"/>
        <v>0</v>
      </c>
      <c r="S72" s="202">
        <f t="shared" si="39"/>
        <v>0</v>
      </c>
      <c r="T72" s="202">
        <f t="shared" si="39"/>
        <v>0</v>
      </c>
      <c r="U72" s="202">
        <f t="shared" si="39"/>
        <v>0</v>
      </c>
      <c r="V72" s="202">
        <f t="shared" si="39"/>
        <v>0</v>
      </c>
      <c r="W72" s="202">
        <f t="shared" si="39"/>
        <v>0</v>
      </c>
      <c r="X72" s="202">
        <f t="shared" si="39"/>
        <v>0</v>
      </c>
      <c r="Y72" s="202">
        <f t="shared" si="39"/>
        <v>0</v>
      </c>
      <c r="Z72" s="202">
        <f t="shared" si="39"/>
        <v>0</v>
      </c>
      <c r="AA72" s="202">
        <f t="shared" si="39"/>
        <v>0</v>
      </c>
      <c r="AB72" s="202">
        <f t="shared" si="39"/>
        <v>0</v>
      </c>
      <c r="AC72" s="298">
        <f t="shared" si="39"/>
        <v>0</v>
      </c>
    </row>
    <row r="73" spans="1:29" ht="12.75" customHeight="1">
      <c r="A73" s="206"/>
      <c r="B73" s="726">
        <f>B64</f>
        <v>0</v>
      </c>
      <c r="C73" s="734">
        <f>IF($C$7="","",$C$7)</f>
      </c>
      <c r="D73" s="735"/>
      <c r="E73" s="202">
        <f>E54*$B$64</f>
        <v>0</v>
      </c>
      <c r="F73" s="202">
        <f aca="true" t="shared" si="40" ref="F73:AC73">F54*$B$64</f>
        <v>0</v>
      </c>
      <c r="G73" s="202">
        <f t="shared" si="40"/>
        <v>0</v>
      </c>
      <c r="H73" s="202">
        <f t="shared" si="40"/>
        <v>0</v>
      </c>
      <c r="I73" s="202">
        <f t="shared" si="40"/>
        <v>0</v>
      </c>
      <c r="J73" s="202">
        <f t="shared" si="40"/>
        <v>0</v>
      </c>
      <c r="K73" s="202">
        <f t="shared" si="40"/>
        <v>0</v>
      </c>
      <c r="L73" s="202">
        <f t="shared" si="40"/>
        <v>0</v>
      </c>
      <c r="M73" s="202">
        <f t="shared" si="40"/>
        <v>0</v>
      </c>
      <c r="N73" s="202">
        <f t="shared" si="40"/>
        <v>0</v>
      </c>
      <c r="O73" s="202">
        <f t="shared" si="40"/>
        <v>0</v>
      </c>
      <c r="P73" s="202">
        <f t="shared" si="40"/>
        <v>0</v>
      </c>
      <c r="Q73" s="202">
        <f t="shared" si="40"/>
        <v>0</v>
      </c>
      <c r="R73" s="202">
        <f t="shared" si="40"/>
        <v>0</v>
      </c>
      <c r="S73" s="202">
        <f t="shared" si="40"/>
        <v>0</v>
      </c>
      <c r="T73" s="202">
        <f t="shared" si="40"/>
        <v>0</v>
      </c>
      <c r="U73" s="202">
        <f t="shared" si="40"/>
        <v>0</v>
      </c>
      <c r="V73" s="202">
        <f t="shared" si="40"/>
        <v>0</v>
      </c>
      <c r="W73" s="202">
        <f t="shared" si="40"/>
        <v>0</v>
      </c>
      <c r="X73" s="202">
        <f t="shared" si="40"/>
        <v>0</v>
      </c>
      <c r="Y73" s="202">
        <f t="shared" si="40"/>
        <v>0</v>
      </c>
      <c r="Z73" s="202">
        <f t="shared" si="40"/>
        <v>0</v>
      </c>
      <c r="AA73" s="202">
        <f t="shared" si="40"/>
        <v>0</v>
      </c>
      <c r="AB73" s="202">
        <f t="shared" si="40"/>
        <v>0</v>
      </c>
      <c r="AC73" s="298">
        <f t="shared" si="40"/>
        <v>0</v>
      </c>
    </row>
    <row r="74" spans="1:29" ht="12.75" customHeight="1">
      <c r="A74" s="206"/>
      <c r="B74" s="728">
        <f>B65</f>
        <v>0</v>
      </c>
      <c r="C74" s="736">
        <f>IF($C$8="","",$C$8)</f>
      </c>
      <c r="D74" s="737"/>
      <c r="E74" s="311">
        <f>E55*$B$65</f>
        <v>0</v>
      </c>
      <c r="F74" s="311">
        <f aca="true" t="shared" si="41" ref="F74:AC74">F55*$B$65</f>
        <v>0</v>
      </c>
      <c r="G74" s="311">
        <f t="shared" si="41"/>
        <v>0</v>
      </c>
      <c r="H74" s="311">
        <f t="shared" si="41"/>
        <v>0</v>
      </c>
      <c r="I74" s="311">
        <f t="shared" si="41"/>
        <v>0</v>
      </c>
      <c r="J74" s="311">
        <f t="shared" si="41"/>
        <v>0</v>
      </c>
      <c r="K74" s="311">
        <f t="shared" si="41"/>
        <v>0</v>
      </c>
      <c r="L74" s="311">
        <f t="shared" si="41"/>
        <v>0</v>
      </c>
      <c r="M74" s="311">
        <f t="shared" si="41"/>
        <v>0</v>
      </c>
      <c r="N74" s="311">
        <f t="shared" si="41"/>
        <v>0</v>
      </c>
      <c r="O74" s="311">
        <f t="shared" si="41"/>
        <v>0</v>
      </c>
      <c r="P74" s="311">
        <f t="shared" si="41"/>
        <v>0</v>
      </c>
      <c r="Q74" s="311">
        <f t="shared" si="41"/>
        <v>0</v>
      </c>
      <c r="R74" s="311">
        <f t="shared" si="41"/>
        <v>0</v>
      </c>
      <c r="S74" s="311">
        <f t="shared" si="41"/>
        <v>0</v>
      </c>
      <c r="T74" s="311">
        <f t="shared" si="41"/>
        <v>0</v>
      </c>
      <c r="U74" s="311">
        <f t="shared" si="41"/>
        <v>0</v>
      </c>
      <c r="V74" s="311">
        <f t="shared" si="41"/>
        <v>0</v>
      </c>
      <c r="W74" s="311">
        <f t="shared" si="41"/>
        <v>0</v>
      </c>
      <c r="X74" s="311">
        <f t="shared" si="41"/>
        <v>0</v>
      </c>
      <c r="Y74" s="311">
        <f t="shared" si="41"/>
        <v>0</v>
      </c>
      <c r="Z74" s="311">
        <f t="shared" si="41"/>
        <v>0</v>
      </c>
      <c r="AA74" s="311">
        <f t="shared" si="41"/>
        <v>0</v>
      </c>
      <c r="AB74" s="311">
        <f t="shared" si="41"/>
        <v>0</v>
      </c>
      <c r="AC74" s="312">
        <f t="shared" si="41"/>
        <v>0</v>
      </c>
    </row>
    <row r="75" spans="1:29" ht="12.75" thickBot="1">
      <c r="A75" s="135"/>
      <c r="B75" s="730"/>
      <c r="C75" s="738" t="str">
        <f>C66</f>
        <v>Přírůstkové celkové náklady</v>
      </c>
      <c r="D75" s="739"/>
      <c r="E75" s="307">
        <f aca="true" t="shared" si="42" ref="E75:AC75">SUM(E70:E74)</f>
        <v>0</v>
      </c>
      <c r="F75" s="308">
        <f t="shared" si="42"/>
        <v>0</v>
      </c>
      <c r="G75" s="308">
        <f t="shared" si="42"/>
        <v>0</v>
      </c>
      <c r="H75" s="308">
        <f t="shared" si="42"/>
        <v>0</v>
      </c>
      <c r="I75" s="308">
        <f t="shared" si="42"/>
        <v>0</v>
      </c>
      <c r="J75" s="308">
        <f t="shared" si="42"/>
        <v>0</v>
      </c>
      <c r="K75" s="308">
        <f t="shared" si="42"/>
        <v>0</v>
      </c>
      <c r="L75" s="308">
        <f t="shared" si="42"/>
        <v>0</v>
      </c>
      <c r="M75" s="308">
        <f t="shared" si="42"/>
        <v>0</v>
      </c>
      <c r="N75" s="308">
        <f t="shared" si="42"/>
        <v>0</v>
      </c>
      <c r="O75" s="308">
        <f t="shared" si="42"/>
        <v>0</v>
      </c>
      <c r="P75" s="308">
        <f t="shared" si="42"/>
        <v>0</v>
      </c>
      <c r="Q75" s="308">
        <f t="shared" si="42"/>
        <v>0</v>
      </c>
      <c r="R75" s="308">
        <f t="shared" si="42"/>
        <v>0</v>
      </c>
      <c r="S75" s="308">
        <f t="shared" si="42"/>
        <v>0</v>
      </c>
      <c r="T75" s="308">
        <f t="shared" si="42"/>
        <v>0</v>
      </c>
      <c r="U75" s="308">
        <f t="shared" si="42"/>
        <v>0</v>
      </c>
      <c r="V75" s="308">
        <f t="shared" si="42"/>
        <v>0</v>
      </c>
      <c r="W75" s="308">
        <f t="shared" si="42"/>
        <v>0</v>
      </c>
      <c r="X75" s="308">
        <f t="shared" si="42"/>
        <v>0</v>
      </c>
      <c r="Y75" s="308">
        <f t="shared" si="42"/>
        <v>0</v>
      </c>
      <c r="Z75" s="308">
        <f t="shared" si="42"/>
        <v>0</v>
      </c>
      <c r="AA75" s="308">
        <f t="shared" si="42"/>
        <v>0</v>
      </c>
      <c r="AB75" s="308">
        <f t="shared" si="42"/>
        <v>0</v>
      </c>
      <c r="AC75" s="309">
        <f t="shared" si="42"/>
        <v>0</v>
      </c>
    </row>
    <row r="76" spans="1:29" ht="11.25">
      <c r="A76" s="135"/>
      <c r="B76" s="201"/>
      <c r="C76" s="135"/>
      <c r="D76" s="199"/>
      <c r="E76" s="1016"/>
      <c r="F76" s="1017"/>
      <c r="G76" s="1017"/>
      <c r="H76" s="1017"/>
      <c r="I76" s="1017"/>
      <c r="J76" s="1017"/>
      <c r="K76" s="1017"/>
      <c r="L76" s="1017"/>
      <c r="M76" s="1017"/>
      <c r="N76" s="1017"/>
      <c r="O76" s="1017"/>
      <c r="P76" s="1017"/>
      <c r="Q76" s="1017"/>
      <c r="R76" s="1017"/>
      <c r="S76" s="1017"/>
      <c r="T76" s="1017"/>
      <c r="U76" s="1017"/>
      <c r="V76" s="1017"/>
      <c r="W76" s="1017"/>
      <c r="X76" s="1017"/>
      <c r="Y76" s="1017"/>
      <c r="Z76" s="1017"/>
      <c r="AA76" s="1017"/>
      <c r="AB76" s="1017"/>
      <c r="AC76" s="1017"/>
    </row>
    <row r="77" spans="1:29" ht="12" thickBot="1">
      <c r="A77" s="135"/>
      <c r="B77" s="201"/>
      <c r="C77" s="135"/>
      <c r="D77" s="199"/>
      <c r="E77" s="1016"/>
      <c r="F77" s="1017"/>
      <c r="G77" s="1017"/>
      <c r="H77" s="1017"/>
      <c r="I77" s="1017"/>
      <c r="J77" s="1017"/>
      <c r="K77" s="1017"/>
      <c r="L77" s="1017"/>
      <c r="M77" s="1017"/>
      <c r="N77" s="1017"/>
      <c r="O77" s="1017"/>
      <c r="P77" s="1017"/>
      <c r="Q77" s="1017"/>
      <c r="R77" s="1017"/>
      <c r="S77" s="1017"/>
      <c r="T77" s="1017"/>
      <c r="U77" s="1017"/>
      <c r="V77" s="1017"/>
      <c r="W77" s="1017"/>
      <c r="X77" s="1017"/>
      <c r="Y77" s="1017"/>
      <c r="Z77" s="1017"/>
      <c r="AA77" s="1017"/>
      <c r="AB77" s="1017"/>
      <c r="AC77" s="1017"/>
    </row>
    <row r="78" spans="2:5" ht="13.5" thickBot="1">
      <c r="B78" s="367" t="s">
        <v>497</v>
      </c>
      <c r="C78" s="1038" t="str">
        <f>IF('0 Úvod'!$M$3="English",Slovnik!D122,Slovnik!C122)</f>
        <v>Vodní cesty</v>
      </c>
      <c r="D78" s="635" t="str">
        <f>IF('0 Úvod'!$M$3="English",Slovnik!D135,Slovnik!C135)</f>
        <v>údržba</v>
      </c>
      <c r="E78" s="636"/>
    </row>
    <row r="79" spans="2:5" ht="12.75">
      <c r="B79" s="368"/>
      <c r="C79" s="1040" t="str">
        <f>IF('0 Úvod'!$M$3="English",Slovnik!D123,Slovnik!C123)</f>
        <v>plavební kanál</v>
      </c>
      <c r="D79" s="371">
        <f>830820</f>
        <v>830820</v>
      </c>
      <c r="E79" s="303" t="s">
        <v>548</v>
      </c>
    </row>
    <row r="80" spans="2:5" ht="12.75">
      <c r="B80" s="368"/>
      <c r="C80" s="1041" t="str">
        <f>IF('0 Úvod'!$M$3="English",Slovnik!D124,Slovnik!C124)</f>
        <v>údržba toku</v>
      </c>
      <c r="D80" s="372">
        <f>76045</f>
        <v>76045</v>
      </c>
      <c r="E80" s="304" t="s">
        <v>548</v>
      </c>
    </row>
    <row r="81" spans="2:5" ht="13.5" thickBot="1">
      <c r="B81" s="368"/>
      <c r="C81" s="1042" t="str">
        <f>IF('0 Úvod'!$M$3="English",Slovnik!D125,Slovnik!C125)</f>
        <v>údržba přístavní zdi</v>
      </c>
      <c r="D81" s="373">
        <f>403</f>
        <v>403</v>
      </c>
      <c r="E81" s="305" t="s">
        <v>549</v>
      </c>
    </row>
    <row r="82" spans="2:5" ht="13.5" thickBot="1">
      <c r="B82" s="368"/>
      <c r="C82" s="1039" t="str">
        <f>IF('0 Úvod'!$M$3="English",Slovnik!D126,Slovnik!C126)</f>
        <v>Soubor</v>
      </c>
      <c r="D82" s="1045" t="str">
        <f>IF('0 Úvod'!$M$3="English",Slovnik!D136,Slovnik!C136)</f>
        <v>provoz v Kč</v>
      </c>
      <c r="E82" s="1046" t="str">
        <f>IF('0 Úvod'!$M$3="English",Slovnik!D137,Slovnik!C137)</f>
        <v>opravy v Kč</v>
      </c>
    </row>
    <row r="83" spans="2:5" ht="12.75">
      <c r="B83" s="369"/>
      <c r="C83" s="1043" t="str">
        <f>IF('0 Úvod'!$M$3="English",Slovnik!D127,Slovnik!C127)</f>
        <v>plavební komory - I.třída vodní cesty</v>
      </c>
      <c r="D83" s="1207">
        <f>658300</f>
        <v>658300</v>
      </c>
      <c r="E83" s="1208">
        <f>749100</f>
        <v>749100</v>
      </c>
    </row>
    <row r="84" spans="2:5" ht="12.75">
      <c r="B84" s="369"/>
      <c r="C84" s="1041" t="str">
        <f>IF('0 Úvod'!$M$3="English",Slovnik!D128,Slovnik!C128)</f>
        <v>plavební komory - IV. a V. třída, délka do 110 m</v>
      </c>
      <c r="D84" s="372">
        <f>1010150</f>
        <v>1010150</v>
      </c>
      <c r="E84" s="1209">
        <f>1146350</f>
        <v>1146350</v>
      </c>
    </row>
    <row r="85" spans="2:5" ht="12.75">
      <c r="B85" s="369"/>
      <c r="C85" s="1041" t="str">
        <f>IF('0 Úvod'!$M$3="English",Slovnik!D129,Slovnik!C129)</f>
        <v>plavební komory - IV. a V. třída, délka do 190 m</v>
      </c>
      <c r="D85" s="372">
        <f>1066900</f>
        <v>1066900</v>
      </c>
      <c r="E85" s="1209">
        <f>1418750</f>
        <v>1418750</v>
      </c>
    </row>
    <row r="86" spans="2:5" ht="12.75">
      <c r="B86" s="369"/>
      <c r="C86" s="1041" t="str">
        <f>IF('0 Úvod'!$M$3="English",Slovnik!D130,Slovnik!C130)</f>
        <v>plavební komory - V. třída, šířka nad 22 m</v>
      </c>
      <c r="D86" s="372">
        <f>1066900</f>
        <v>1066900</v>
      </c>
      <c r="E86" s="1209">
        <f>1418750</f>
        <v>1418750</v>
      </c>
    </row>
    <row r="87" spans="2:5" ht="12.75">
      <c r="B87" s="369"/>
      <c r="C87" s="1041" t="str">
        <f>IF('0 Úvod'!$M$3="English",Slovnik!D131,Slovnik!C131)</f>
        <v>jezy - dolní Labe</v>
      </c>
      <c r="D87" s="372">
        <f>1566300</f>
        <v>1566300</v>
      </c>
      <c r="E87" s="1209">
        <f>2077050</f>
        <v>2077050</v>
      </c>
    </row>
    <row r="88" spans="2:5" ht="12.75">
      <c r="B88" s="369"/>
      <c r="C88" s="1041" t="str">
        <f>IF('0 Úvod'!$M$3="English",Slovnik!D132,Slovnik!C132)</f>
        <v>jezy - střední Labe</v>
      </c>
      <c r="D88" s="372">
        <f>942050</f>
        <v>942050</v>
      </c>
      <c r="E88" s="1209">
        <f>987450</f>
        <v>987450</v>
      </c>
    </row>
    <row r="89" spans="2:5" ht="12.75">
      <c r="B89" s="369"/>
      <c r="C89" s="1041" t="str">
        <f>IF('0 Úvod'!$M$3="English",Slovnik!D133,Slovnik!C133)</f>
        <v>jezy - dolní Vltava</v>
      </c>
      <c r="D89" s="372">
        <f>624250</f>
        <v>624250</v>
      </c>
      <c r="E89" s="1209">
        <f>658300</f>
        <v>658300</v>
      </c>
    </row>
    <row r="90" spans="2:5" ht="13.5" thickBot="1">
      <c r="B90" s="370"/>
      <c r="C90" s="1044" t="str">
        <f>IF('0 Úvod'!$M$3="English",Slovnik!D134,Slovnik!C134)</f>
        <v>přehrady Vltava</v>
      </c>
      <c r="D90" s="1210">
        <f>1022635</f>
        <v>1022635</v>
      </c>
      <c r="E90" s="1211">
        <f>1350650</f>
        <v>1350650</v>
      </c>
    </row>
    <row r="91" ht="12" thickBot="1"/>
    <row r="92" spans="2:16" ht="11.25">
      <c r="B92" s="1315" t="str">
        <f>IF('0 Úvod'!$M$3="English",Slovnik!D139,Slovnik!C139)</f>
        <v>Komentáře</v>
      </c>
      <c r="C92" s="1316"/>
      <c r="D92" s="1316"/>
      <c r="E92" s="1316"/>
      <c r="F92" s="1316"/>
      <c r="G92" s="1316"/>
      <c r="H92" s="1316"/>
      <c r="I92" s="1316"/>
      <c r="J92" s="1316"/>
      <c r="K92" s="1316"/>
      <c r="L92" s="1316"/>
      <c r="M92" s="1316"/>
      <c r="N92" s="1316"/>
      <c r="O92" s="1316"/>
      <c r="P92" s="1317"/>
    </row>
    <row r="93" spans="2:16" ht="12" thickBot="1">
      <c r="B93" s="1318"/>
      <c r="C93" s="1319"/>
      <c r="D93" s="1319"/>
      <c r="E93" s="1319"/>
      <c r="F93" s="1319"/>
      <c r="G93" s="1319"/>
      <c r="H93" s="1319"/>
      <c r="I93" s="1319"/>
      <c r="J93" s="1319"/>
      <c r="K93" s="1319"/>
      <c r="L93" s="1319"/>
      <c r="M93" s="1319"/>
      <c r="N93" s="1319"/>
      <c r="O93" s="1319"/>
      <c r="P93" s="1320"/>
    </row>
    <row r="94" spans="2:16" ht="12.75" customHeight="1">
      <c r="B94" s="1301"/>
      <c r="C94" s="1302"/>
      <c r="D94" s="1302"/>
      <c r="E94" s="1302"/>
      <c r="F94" s="1302"/>
      <c r="G94" s="1302"/>
      <c r="H94" s="1302"/>
      <c r="I94" s="1302"/>
      <c r="J94" s="1302"/>
      <c r="K94" s="1302"/>
      <c r="L94" s="1302"/>
      <c r="M94" s="1302"/>
      <c r="N94" s="1302"/>
      <c r="O94" s="1302"/>
      <c r="P94" s="1303"/>
    </row>
    <row r="95" spans="2:16" ht="12.75" customHeight="1">
      <c r="B95" s="1304"/>
      <c r="C95" s="1305"/>
      <c r="D95" s="1305"/>
      <c r="E95" s="1305"/>
      <c r="F95" s="1305"/>
      <c r="G95" s="1305"/>
      <c r="H95" s="1305"/>
      <c r="I95" s="1305"/>
      <c r="J95" s="1305"/>
      <c r="K95" s="1305"/>
      <c r="L95" s="1305"/>
      <c r="M95" s="1305"/>
      <c r="N95" s="1305"/>
      <c r="O95" s="1305"/>
      <c r="P95" s="1306"/>
    </row>
    <row r="96" spans="2:16" ht="12.75" customHeight="1" thickBot="1">
      <c r="B96" s="1307"/>
      <c r="C96" s="1308"/>
      <c r="D96" s="1308"/>
      <c r="E96" s="1308"/>
      <c r="F96" s="1308"/>
      <c r="G96" s="1308"/>
      <c r="H96" s="1308"/>
      <c r="I96" s="1308"/>
      <c r="J96" s="1308"/>
      <c r="K96" s="1308"/>
      <c r="L96" s="1308"/>
      <c r="M96" s="1308"/>
      <c r="N96" s="1308"/>
      <c r="O96" s="1308"/>
      <c r="P96" s="1309"/>
    </row>
  </sheetData>
  <sheetProtection formatCells="0" formatColumns="0" formatRows="0" insertColumns="0" insertRows="0" insertHyperlinks="0" deleteColumns="0" deleteRows="0" sort="0" autoFilter="0" pivotTables="0"/>
  <mergeCells count="202">
    <mergeCell ref="V68:V69"/>
    <mergeCell ref="W68:W69"/>
    <mergeCell ref="X68:X69"/>
    <mergeCell ref="Y68:Y69"/>
    <mergeCell ref="Z68:Z69"/>
    <mergeCell ref="AA68:AA69"/>
    <mergeCell ref="AB68:AB69"/>
    <mergeCell ref="AC68:AC69"/>
    <mergeCell ref="W59:W60"/>
    <mergeCell ref="X59:X60"/>
    <mergeCell ref="Y59:Y60"/>
    <mergeCell ref="Z59:Z60"/>
    <mergeCell ref="AA59:AA60"/>
    <mergeCell ref="AB59:AB60"/>
    <mergeCell ref="AC59:AC60"/>
    <mergeCell ref="V59:V60"/>
    <mergeCell ref="E68:E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U68:U69"/>
    <mergeCell ref="N59:N60"/>
    <mergeCell ref="O59:O60"/>
    <mergeCell ref="P59:P60"/>
    <mergeCell ref="Q59:Q60"/>
    <mergeCell ref="R59:R60"/>
    <mergeCell ref="S59:S60"/>
    <mergeCell ref="T59:T60"/>
    <mergeCell ref="U59:U60"/>
    <mergeCell ref="E59:E60"/>
    <mergeCell ref="F59:F60"/>
    <mergeCell ref="G59:G60"/>
    <mergeCell ref="H59:H60"/>
    <mergeCell ref="I59:I60"/>
    <mergeCell ref="J59:J60"/>
    <mergeCell ref="K59:K60"/>
    <mergeCell ref="L59:L60"/>
    <mergeCell ref="M59:M60"/>
    <mergeCell ref="F40:F41"/>
    <mergeCell ref="F30:F31"/>
    <mergeCell ref="E21:E22"/>
    <mergeCell ref="G21:G22"/>
    <mergeCell ref="J40:J41"/>
    <mergeCell ref="K40:K41"/>
    <mergeCell ref="J21:J22"/>
    <mergeCell ref="L30:L31"/>
    <mergeCell ref="B92:P93"/>
    <mergeCell ref="M21:M22"/>
    <mergeCell ref="J30:J31"/>
    <mergeCell ref="K30:K31"/>
    <mergeCell ref="E30:E31"/>
    <mergeCell ref="E40:E41"/>
    <mergeCell ref="E49:E50"/>
    <mergeCell ref="F49:F50"/>
    <mergeCell ref="I49:I50"/>
    <mergeCell ref="J49:J50"/>
    <mergeCell ref="K49:K50"/>
    <mergeCell ref="H30:H31"/>
    <mergeCell ref="I30:I31"/>
    <mergeCell ref="G30:G31"/>
    <mergeCell ref="G40:G41"/>
    <mergeCell ref="H40:H41"/>
    <mergeCell ref="S30:S31"/>
    <mergeCell ref="P2:P3"/>
    <mergeCell ref="R40:R41"/>
    <mergeCell ref="S40:S41"/>
    <mergeCell ref="P40:P41"/>
    <mergeCell ref="Q40:Q41"/>
    <mergeCell ref="S2:S3"/>
    <mergeCell ref="Q11:Q12"/>
    <mergeCell ref="Q2:Q3"/>
    <mergeCell ref="R2:R3"/>
    <mergeCell ref="R30:R31"/>
    <mergeCell ref="O49:O50"/>
    <mergeCell ref="P49:P50"/>
    <mergeCell ref="Q49:Q50"/>
    <mergeCell ref="R49:R50"/>
    <mergeCell ref="L21:L22"/>
    <mergeCell ref="L49:L50"/>
    <mergeCell ref="M49:M50"/>
    <mergeCell ref="N2:N3"/>
    <mergeCell ref="M40:M41"/>
    <mergeCell ref="M30:M31"/>
    <mergeCell ref="N30:N31"/>
    <mergeCell ref="N49:N50"/>
    <mergeCell ref="E11:E12"/>
    <mergeCell ref="F11:F12"/>
    <mergeCell ref="G11:G12"/>
    <mergeCell ref="H11:H12"/>
    <mergeCell ref="E2:E3"/>
    <mergeCell ref="F2:F3"/>
    <mergeCell ref="G2:G3"/>
    <mergeCell ref="H2:H3"/>
    <mergeCell ref="R21:R22"/>
    <mergeCell ref="N21:N22"/>
    <mergeCell ref="O21:O22"/>
    <mergeCell ref="P21:P22"/>
    <mergeCell ref="I2:I3"/>
    <mergeCell ref="P11:P12"/>
    <mergeCell ref="L11:L12"/>
    <mergeCell ref="M11:M12"/>
    <mergeCell ref="N11:N12"/>
    <mergeCell ref="L2:L3"/>
    <mergeCell ref="I11:I12"/>
    <mergeCell ref="J11:J12"/>
    <mergeCell ref="K11:K12"/>
    <mergeCell ref="F21:F22"/>
    <mergeCell ref="K21:K22"/>
    <mergeCell ref="I21:I22"/>
    <mergeCell ref="Z2:Z3"/>
    <mergeCell ref="Z21:Z22"/>
    <mergeCell ref="AA2:AA3"/>
    <mergeCell ref="I40:I41"/>
    <mergeCell ref="G49:G50"/>
    <mergeCell ref="H49:H50"/>
    <mergeCell ref="O30:O31"/>
    <mergeCell ref="Q30:Q31"/>
    <mergeCell ref="P30:P31"/>
    <mergeCell ref="L40:L41"/>
    <mergeCell ref="T2:T3"/>
    <mergeCell ref="S21:S22"/>
    <mergeCell ref="N40:N41"/>
    <mergeCell ref="O40:O41"/>
    <mergeCell ref="Q21:Q22"/>
    <mergeCell ref="H21:H22"/>
    <mergeCell ref="K2:K3"/>
    <mergeCell ref="S11:S12"/>
    <mergeCell ref="R11:R12"/>
    <mergeCell ref="O11:O12"/>
    <mergeCell ref="O2:O3"/>
    <mergeCell ref="M2:M3"/>
    <mergeCell ref="J2:J3"/>
    <mergeCell ref="S49:S50"/>
    <mergeCell ref="AB2:AB3"/>
    <mergeCell ref="AC2:AC3"/>
    <mergeCell ref="T11:T12"/>
    <mergeCell ref="U11:U12"/>
    <mergeCell ref="V11:V12"/>
    <mergeCell ref="W11:W12"/>
    <mergeCell ref="X11:X12"/>
    <mergeCell ref="Y11:Y12"/>
    <mergeCell ref="Z30:Z31"/>
    <mergeCell ref="AA11:AA12"/>
    <mergeCell ref="AB11:AB12"/>
    <mergeCell ref="AC11:AC12"/>
    <mergeCell ref="T21:T22"/>
    <mergeCell ref="U21:U22"/>
    <mergeCell ref="V21:V22"/>
    <mergeCell ref="W21:W22"/>
    <mergeCell ref="X21:X22"/>
    <mergeCell ref="Y21:Y22"/>
    <mergeCell ref="Z11:Z12"/>
    <mergeCell ref="U2:U3"/>
    <mergeCell ref="V2:V3"/>
    <mergeCell ref="W2:W3"/>
    <mergeCell ref="X2:X3"/>
    <mergeCell ref="Y2:Y3"/>
    <mergeCell ref="AA21:AA22"/>
    <mergeCell ref="AB21:AB22"/>
    <mergeCell ref="AC21:AC22"/>
    <mergeCell ref="T30:T31"/>
    <mergeCell ref="U30:U31"/>
    <mergeCell ref="V30:V31"/>
    <mergeCell ref="W30:W31"/>
    <mergeCell ref="X30:X31"/>
    <mergeCell ref="Y30:Y31"/>
    <mergeCell ref="B94:P96"/>
    <mergeCell ref="Z49:Z50"/>
    <mergeCell ref="AA30:AA31"/>
    <mergeCell ref="AB30:AB31"/>
    <mergeCell ref="AC30:AC31"/>
    <mergeCell ref="T40:T41"/>
    <mergeCell ref="U40:U41"/>
    <mergeCell ref="V40:V41"/>
    <mergeCell ref="W40:W41"/>
    <mergeCell ref="X40:X41"/>
    <mergeCell ref="Y40:Y41"/>
    <mergeCell ref="T49:T50"/>
    <mergeCell ref="U49:U50"/>
    <mergeCell ref="V49:V50"/>
    <mergeCell ref="W49:W50"/>
    <mergeCell ref="X49:X50"/>
    <mergeCell ref="Y49:Y50"/>
    <mergeCell ref="AA49:AA50"/>
    <mergeCell ref="AB49:AB50"/>
    <mergeCell ref="AC49:AC50"/>
    <mergeCell ref="AA40:AA41"/>
    <mergeCell ref="AB40:AB41"/>
    <mergeCell ref="AC40:AC41"/>
    <mergeCell ref="Z40:Z41"/>
  </mergeCells>
  <printOptions/>
  <pageMargins left="0.3937007874015748" right="0.35433070866141736" top="0.7874015748031497" bottom="0.7874015748031497" header="0.3937007874015748" footer="0.3937007874015748"/>
  <pageSetup fitToHeight="0" fitToWidth="1" horizontalDpi="600" verticalDpi="600" orientation="landscape" paperSize="9" scale="43" r:id="rId3"/>
  <headerFooter alignWithMargins="0">
    <oddFooter>&amp;L&amp;A&amp;C25.2.2013</oddFooter>
  </headerFooter>
  <legacyDrawing r:id="rId2"/>
</worksheet>
</file>

<file path=xl/worksheets/sheet5.xml><?xml version="1.0" encoding="utf-8"?>
<worksheet xmlns="http://schemas.openxmlformats.org/spreadsheetml/2006/main" xmlns:r="http://schemas.openxmlformats.org/officeDocument/2006/relationships">
  <sheetPr codeName="List7">
    <tabColor theme="3" tint="0.5999900102615356"/>
    <pageSetUpPr fitToPage="1"/>
  </sheetPr>
  <dimension ref="A1:AC53"/>
  <sheetViews>
    <sheetView zoomScale="90" zoomScaleNormal="90" zoomScalePageLayoutView="0" workbookViewId="0" topLeftCell="A1">
      <selection activeCell="B43" sqref="B43:P45"/>
    </sheetView>
  </sheetViews>
  <sheetFormatPr defaultColWidth="9.140625" defaultRowHeight="12.75"/>
  <cols>
    <col min="1" max="1" width="2.7109375" style="187" customWidth="1"/>
    <col min="2" max="2" width="5.7109375" style="187" customWidth="1"/>
    <col min="3" max="3" width="42.28125" style="187" customWidth="1"/>
    <col min="4" max="4" width="12.7109375" style="187" customWidth="1"/>
    <col min="5" max="19" width="10.7109375" style="187" customWidth="1"/>
    <col min="20" max="29" width="10.8515625" style="187" customWidth="1"/>
    <col min="30" max="35" width="8.7109375" style="187" bestFit="1" customWidth="1"/>
    <col min="36" max="16384" width="9.140625" style="187" customWidth="1"/>
  </cols>
  <sheetData>
    <row r="1" spans="1:19" ht="12" thickBot="1">
      <c r="A1" s="185"/>
      <c r="B1" s="185"/>
      <c r="C1" s="185"/>
      <c r="D1" s="185"/>
      <c r="E1" s="186"/>
      <c r="F1" s="185"/>
      <c r="G1" s="185"/>
      <c r="H1" s="185"/>
      <c r="I1" s="185"/>
      <c r="J1" s="185"/>
      <c r="K1" s="185"/>
      <c r="L1" s="185"/>
      <c r="M1" s="185"/>
      <c r="N1" s="185"/>
      <c r="O1" s="185"/>
      <c r="P1" s="185"/>
      <c r="Q1" s="185"/>
      <c r="R1" s="185"/>
      <c r="S1" s="185"/>
    </row>
    <row r="2" spans="2:29" ht="12.75" customHeight="1">
      <c r="B2" s="374" t="s">
        <v>22</v>
      </c>
      <c r="C2" s="375" t="str">
        <f>IF('0 Úvod'!$M$3="English",Slovnik!D141,Slovnik!C141)</f>
        <v>Celkové provozní příjmy</v>
      </c>
      <c r="D2" s="1015" t="s">
        <v>134</v>
      </c>
      <c r="E2" s="1336">
        <f>'0 Úvod'!G18</f>
        <v>2014</v>
      </c>
      <c r="F2" s="1336">
        <f aca="true" t="shared" si="0" ref="F2:S2">E2+1</f>
        <v>2015</v>
      </c>
      <c r="G2" s="1336">
        <f t="shared" si="0"/>
        <v>2016</v>
      </c>
      <c r="H2" s="1336">
        <f t="shared" si="0"/>
        <v>2017</v>
      </c>
      <c r="I2" s="1336">
        <f t="shared" si="0"/>
        <v>2018</v>
      </c>
      <c r="J2" s="1336">
        <f t="shared" si="0"/>
        <v>2019</v>
      </c>
      <c r="K2" s="1336">
        <f t="shared" si="0"/>
        <v>2020</v>
      </c>
      <c r="L2" s="1336">
        <f t="shared" si="0"/>
        <v>2021</v>
      </c>
      <c r="M2" s="1336">
        <f t="shared" si="0"/>
        <v>2022</v>
      </c>
      <c r="N2" s="1336">
        <f t="shared" si="0"/>
        <v>2023</v>
      </c>
      <c r="O2" s="1336">
        <f t="shared" si="0"/>
        <v>2024</v>
      </c>
      <c r="P2" s="1336">
        <f t="shared" si="0"/>
        <v>2025</v>
      </c>
      <c r="Q2" s="1336">
        <f t="shared" si="0"/>
        <v>2026</v>
      </c>
      <c r="R2" s="1336">
        <f t="shared" si="0"/>
        <v>2027</v>
      </c>
      <c r="S2" s="1336">
        <f t="shared" si="0"/>
        <v>2028</v>
      </c>
      <c r="T2" s="1336">
        <f aca="true" t="shared" si="1" ref="T2:AC2">S2+1</f>
        <v>2029</v>
      </c>
      <c r="U2" s="1336">
        <f t="shared" si="1"/>
        <v>2030</v>
      </c>
      <c r="V2" s="1336">
        <f t="shared" si="1"/>
        <v>2031</v>
      </c>
      <c r="W2" s="1336">
        <f t="shared" si="1"/>
        <v>2032</v>
      </c>
      <c r="X2" s="1336">
        <f t="shared" si="1"/>
        <v>2033</v>
      </c>
      <c r="Y2" s="1336">
        <f t="shared" si="1"/>
        <v>2034</v>
      </c>
      <c r="Z2" s="1336">
        <f t="shared" si="1"/>
        <v>2035</v>
      </c>
      <c r="AA2" s="1336">
        <f t="shared" si="1"/>
        <v>2036</v>
      </c>
      <c r="AB2" s="1336">
        <f t="shared" si="1"/>
        <v>2037</v>
      </c>
      <c r="AC2" s="1340">
        <f t="shared" si="1"/>
        <v>2038</v>
      </c>
    </row>
    <row r="3" spans="1:29" ht="13.5" thickBot="1">
      <c r="A3" s="185"/>
      <c r="B3" s="377" t="s">
        <v>17</v>
      </c>
      <c r="C3" s="382" t="str">
        <f>IF('0 Úvod'!$M$3="English",Slovnik!D142,Slovnik!C142)</f>
        <v>Scénář s projektem</v>
      </c>
      <c r="D3" s="379" t="str">
        <f>IF('0 Úvod'!$M$3="English",Slovnik!D149,Slovnik!C149)</f>
        <v>Celkem</v>
      </c>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41"/>
    </row>
    <row r="4" spans="1:29" ht="12">
      <c r="A4" s="185"/>
      <c r="B4" s="617"/>
      <c r="C4" s="618" t="str">
        <f>IF('0 Úvod'!$M$3="English",Slovnik!D143,Slovnik!C143)</f>
        <v>Příjmy z poplatků za infrastrukturu</v>
      </c>
      <c r="D4" s="315">
        <f>SUM(E4:AC4,E10:AC10)</f>
        <v>0</v>
      </c>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8"/>
    </row>
    <row r="5" spans="1:29" ht="12">
      <c r="A5" s="185"/>
      <c r="B5" s="619"/>
      <c r="C5" s="620" t="str">
        <f>IF('0 Úvod'!$M$3="English",Slovnik!D144,Slovnik!C144)</f>
        <v>Ostatní příjmy</v>
      </c>
      <c r="D5" s="320">
        <f>SUM(E5:AC5,E11:AC11)</f>
        <v>0</v>
      </c>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50"/>
    </row>
    <row r="6" spans="1:29" ht="12.75" thickBot="1">
      <c r="A6" s="185"/>
      <c r="B6" s="621"/>
      <c r="C6" s="622" t="str">
        <f>IF('0 Úvod'!$M$3="English",Slovnik!D145,Slovnik!C145)</f>
        <v>Celkové provozní příjmy</v>
      </c>
      <c r="D6" s="317">
        <f>SUM(E6:AC6,E12:AC12)</f>
        <v>0</v>
      </c>
      <c r="E6" s="318">
        <f aca="true" t="shared" si="2" ref="E6:S6">E4+E5</f>
        <v>0</v>
      </c>
      <c r="F6" s="318">
        <f t="shared" si="2"/>
        <v>0</v>
      </c>
      <c r="G6" s="318">
        <f t="shared" si="2"/>
        <v>0</v>
      </c>
      <c r="H6" s="318">
        <f t="shared" si="2"/>
        <v>0</v>
      </c>
      <c r="I6" s="318">
        <f t="shared" si="2"/>
        <v>0</v>
      </c>
      <c r="J6" s="318">
        <f t="shared" si="2"/>
        <v>0</v>
      </c>
      <c r="K6" s="318">
        <f t="shared" si="2"/>
        <v>0</v>
      </c>
      <c r="L6" s="318">
        <f t="shared" si="2"/>
        <v>0</v>
      </c>
      <c r="M6" s="318">
        <f t="shared" si="2"/>
        <v>0</v>
      </c>
      <c r="N6" s="318">
        <f t="shared" si="2"/>
        <v>0</v>
      </c>
      <c r="O6" s="318">
        <f t="shared" si="2"/>
        <v>0</v>
      </c>
      <c r="P6" s="318">
        <f t="shared" si="2"/>
        <v>0</v>
      </c>
      <c r="Q6" s="318">
        <f t="shared" si="2"/>
        <v>0</v>
      </c>
      <c r="R6" s="318">
        <f t="shared" si="2"/>
        <v>0</v>
      </c>
      <c r="S6" s="318">
        <f t="shared" si="2"/>
        <v>0</v>
      </c>
      <c r="T6" s="318">
        <f aca="true" t="shared" si="3" ref="T6:AC6">T4+T5</f>
        <v>0</v>
      </c>
      <c r="U6" s="318">
        <f t="shared" si="3"/>
        <v>0</v>
      </c>
      <c r="V6" s="318">
        <f t="shared" si="3"/>
        <v>0</v>
      </c>
      <c r="W6" s="318">
        <f t="shared" si="3"/>
        <v>0</v>
      </c>
      <c r="X6" s="318">
        <f t="shared" si="3"/>
        <v>0</v>
      </c>
      <c r="Y6" s="318">
        <f t="shared" si="3"/>
        <v>0</v>
      </c>
      <c r="Z6" s="318">
        <f t="shared" si="3"/>
        <v>0</v>
      </c>
      <c r="AA6" s="318">
        <f t="shared" si="3"/>
        <v>0</v>
      </c>
      <c r="AB6" s="318">
        <f t="shared" si="3"/>
        <v>0</v>
      </c>
      <c r="AC6" s="319">
        <f t="shared" si="3"/>
        <v>0</v>
      </c>
    </row>
    <row r="7" spans="1:28" ht="12" thickBot="1">
      <c r="A7" s="185"/>
      <c r="B7" s="188"/>
      <c r="C7" s="185"/>
      <c r="D7" s="189"/>
      <c r="E7" s="186"/>
      <c r="F7" s="186"/>
      <c r="G7" s="186"/>
      <c r="H7" s="186"/>
      <c r="I7" s="186"/>
      <c r="J7" s="186"/>
      <c r="K7" s="186"/>
      <c r="L7" s="186"/>
      <c r="M7" s="186"/>
      <c r="N7" s="186"/>
      <c r="O7" s="186"/>
      <c r="P7" s="186"/>
      <c r="Q7" s="186"/>
      <c r="R7" s="186"/>
      <c r="S7" s="186"/>
      <c r="T7" s="186"/>
      <c r="U7" s="186"/>
      <c r="V7" s="186"/>
      <c r="W7" s="186"/>
      <c r="X7" s="186"/>
      <c r="Y7" s="186"/>
      <c r="Z7" s="186"/>
      <c r="AA7" s="186"/>
      <c r="AB7" s="186"/>
    </row>
    <row r="8" spans="2:29" ht="12.75">
      <c r="B8" s="374" t="s">
        <v>22</v>
      </c>
      <c r="C8" s="375" t="str">
        <f>C2</f>
        <v>Celkové provozní příjmy</v>
      </c>
      <c r="D8" s="376"/>
      <c r="E8" s="1336">
        <f>AC2+1</f>
        <v>2039</v>
      </c>
      <c r="F8" s="1336">
        <f aca="true" t="shared" si="4" ref="F8:S8">E8+1</f>
        <v>2040</v>
      </c>
      <c r="G8" s="1336">
        <f t="shared" si="4"/>
        <v>2041</v>
      </c>
      <c r="H8" s="1336">
        <f t="shared" si="4"/>
        <v>2042</v>
      </c>
      <c r="I8" s="1336">
        <f t="shared" si="4"/>
        <v>2043</v>
      </c>
      <c r="J8" s="1336">
        <f t="shared" si="4"/>
        <v>2044</v>
      </c>
      <c r="K8" s="1336">
        <f t="shared" si="4"/>
        <v>2045</v>
      </c>
      <c r="L8" s="1336">
        <f t="shared" si="4"/>
        <v>2046</v>
      </c>
      <c r="M8" s="1336">
        <f t="shared" si="4"/>
        <v>2047</v>
      </c>
      <c r="N8" s="1336">
        <f t="shared" si="4"/>
        <v>2048</v>
      </c>
      <c r="O8" s="1336">
        <f t="shared" si="4"/>
        <v>2049</v>
      </c>
      <c r="P8" s="1336">
        <f t="shared" si="4"/>
        <v>2050</v>
      </c>
      <c r="Q8" s="1336">
        <f t="shared" si="4"/>
        <v>2051</v>
      </c>
      <c r="R8" s="1336">
        <f t="shared" si="4"/>
        <v>2052</v>
      </c>
      <c r="S8" s="1336">
        <f t="shared" si="4"/>
        <v>2053</v>
      </c>
      <c r="T8" s="1336">
        <f aca="true" t="shared" si="5" ref="T8:AC8">S8+1</f>
        <v>2054</v>
      </c>
      <c r="U8" s="1336">
        <f t="shared" si="5"/>
        <v>2055</v>
      </c>
      <c r="V8" s="1336">
        <f t="shared" si="5"/>
        <v>2056</v>
      </c>
      <c r="W8" s="1336">
        <f t="shared" si="5"/>
        <v>2057</v>
      </c>
      <c r="X8" s="1336">
        <f t="shared" si="5"/>
        <v>2058</v>
      </c>
      <c r="Y8" s="1336">
        <f t="shared" si="5"/>
        <v>2059</v>
      </c>
      <c r="Z8" s="1336">
        <f t="shared" si="5"/>
        <v>2060</v>
      </c>
      <c r="AA8" s="1336">
        <f t="shared" si="5"/>
        <v>2061</v>
      </c>
      <c r="AB8" s="1336">
        <f t="shared" si="5"/>
        <v>2062</v>
      </c>
      <c r="AC8" s="1340">
        <f t="shared" si="5"/>
        <v>2063</v>
      </c>
    </row>
    <row r="9" spans="1:29" ht="13.5" thickBot="1">
      <c r="A9" s="185"/>
      <c r="B9" s="377" t="s">
        <v>19</v>
      </c>
      <c r="C9" s="380" t="str">
        <f>C3</f>
        <v>Scénář s projektem</v>
      </c>
      <c r="D9" s="381"/>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41"/>
    </row>
    <row r="10" spans="1:29" ht="12">
      <c r="A10" s="185"/>
      <c r="B10" s="623"/>
      <c r="C10" s="624" t="str">
        <f>C4</f>
        <v>Příjmy z poplatků za infrastrukturu</v>
      </c>
      <c r="D10" s="625"/>
      <c r="E10" s="1051"/>
      <c r="F10" s="1051"/>
      <c r="G10" s="1051"/>
      <c r="H10" s="1051"/>
      <c r="I10" s="1051"/>
      <c r="J10" s="1051"/>
      <c r="K10" s="1051"/>
      <c r="L10" s="1051"/>
      <c r="M10" s="1051"/>
      <c r="N10" s="1051"/>
      <c r="O10" s="1051"/>
      <c r="P10" s="1051"/>
      <c r="Q10" s="1051"/>
      <c r="R10" s="1051"/>
      <c r="S10" s="1051"/>
      <c r="T10" s="1051"/>
      <c r="U10" s="1051"/>
      <c r="V10" s="1051"/>
      <c r="W10" s="1051"/>
      <c r="X10" s="1051"/>
      <c r="Y10" s="1051"/>
      <c r="Z10" s="1051"/>
      <c r="AA10" s="1051"/>
      <c r="AB10" s="1051"/>
      <c r="AC10" s="1052"/>
    </row>
    <row r="11" spans="1:29" ht="12">
      <c r="A11" s="185"/>
      <c r="B11" s="626"/>
      <c r="C11" s="627" t="str">
        <f>C5</f>
        <v>Ostatní příjmy</v>
      </c>
      <c r="D11" s="628"/>
      <c r="E11" s="1053"/>
      <c r="F11" s="1053"/>
      <c r="G11" s="1053"/>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4"/>
    </row>
    <row r="12" spans="1:29" ht="12.75" thickBot="1">
      <c r="A12" s="190"/>
      <c r="B12" s="621"/>
      <c r="C12" s="629" t="str">
        <f>C6</f>
        <v>Celkové provozní příjmy</v>
      </c>
      <c r="D12" s="630"/>
      <c r="E12" s="318">
        <f aca="true" t="shared" si="6" ref="E12:S12">E10+E11</f>
        <v>0</v>
      </c>
      <c r="F12" s="318">
        <f t="shared" si="6"/>
        <v>0</v>
      </c>
      <c r="G12" s="318">
        <f t="shared" si="6"/>
        <v>0</v>
      </c>
      <c r="H12" s="318">
        <f t="shared" si="6"/>
        <v>0</v>
      </c>
      <c r="I12" s="318">
        <f t="shared" si="6"/>
        <v>0</v>
      </c>
      <c r="J12" s="318">
        <f t="shared" si="6"/>
        <v>0</v>
      </c>
      <c r="K12" s="318">
        <f t="shared" si="6"/>
        <v>0</v>
      </c>
      <c r="L12" s="318">
        <f t="shared" si="6"/>
        <v>0</v>
      </c>
      <c r="M12" s="318">
        <f t="shared" si="6"/>
        <v>0</v>
      </c>
      <c r="N12" s="318">
        <f t="shared" si="6"/>
        <v>0</v>
      </c>
      <c r="O12" s="318">
        <f t="shared" si="6"/>
        <v>0</v>
      </c>
      <c r="P12" s="318">
        <f t="shared" si="6"/>
        <v>0</v>
      </c>
      <c r="Q12" s="318">
        <f t="shared" si="6"/>
        <v>0</v>
      </c>
      <c r="R12" s="318">
        <f t="shared" si="6"/>
        <v>0</v>
      </c>
      <c r="S12" s="318">
        <f t="shared" si="6"/>
        <v>0</v>
      </c>
      <c r="T12" s="318">
        <f aca="true" t="shared" si="7" ref="T12:AC12">T10+T11</f>
        <v>0</v>
      </c>
      <c r="U12" s="318">
        <f t="shared" si="7"/>
        <v>0</v>
      </c>
      <c r="V12" s="318">
        <f t="shared" si="7"/>
        <v>0</v>
      </c>
      <c r="W12" s="318">
        <f t="shared" si="7"/>
        <v>0</v>
      </c>
      <c r="X12" s="318">
        <f t="shared" si="7"/>
        <v>0</v>
      </c>
      <c r="Y12" s="318">
        <f t="shared" si="7"/>
        <v>0</v>
      </c>
      <c r="Z12" s="318">
        <f t="shared" si="7"/>
        <v>0</v>
      </c>
      <c r="AA12" s="318">
        <f t="shared" si="7"/>
        <v>0</v>
      </c>
      <c r="AB12" s="318">
        <f t="shared" si="7"/>
        <v>0</v>
      </c>
      <c r="AC12" s="319">
        <f t="shared" si="7"/>
        <v>0</v>
      </c>
    </row>
    <row r="13" spans="1:29" ht="12">
      <c r="A13" s="190"/>
      <c r="B13" s="191"/>
      <c r="C13" s="192"/>
      <c r="D13" s="193"/>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2" thickBot="1">
      <c r="A14" s="185"/>
      <c r="B14" s="191"/>
      <c r="C14" s="185"/>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row>
    <row r="15" spans="2:29" ht="12.75">
      <c r="B15" s="374" t="s">
        <v>23</v>
      </c>
      <c r="C15" s="375" t="str">
        <f>C2</f>
        <v>Celkové provozní příjmy</v>
      </c>
      <c r="D15" s="1015" t="str">
        <f>D2</f>
        <v>CZK</v>
      </c>
      <c r="E15" s="1336">
        <f>E2</f>
        <v>2014</v>
      </c>
      <c r="F15" s="1336">
        <f aca="true" t="shared" si="8" ref="F15:S15">E15+1</f>
        <v>2015</v>
      </c>
      <c r="G15" s="1336">
        <f t="shared" si="8"/>
        <v>2016</v>
      </c>
      <c r="H15" s="1336">
        <f t="shared" si="8"/>
        <v>2017</v>
      </c>
      <c r="I15" s="1336">
        <f t="shared" si="8"/>
        <v>2018</v>
      </c>
      <c r="J15" s="1336">
        <f t="shared" si="8"/>
        <v>2019</v>
      </c>
      <c r="K15" s="1336">
        <f t="shared" si="8"/>
        <v>2020</v>
      </c>
      <c r="L15" s="1336">
        <f t="shared" si="8"/>
        <v>2021</v>
      </c>
      <c r="M15" s="1336">
        <f t="shared" si="8"/>
        <v>2022</v>
      </c>
      <c r="N15" s="1336">
        <f t="shared" si="8"/>
        <v>2023</v>
      </c>
      <c r="O15" s="1336">
        <f t="shared" si="8"/>
        <v>2024</v>
      </c>
      <c r="P15" s="1336">
        <f t="shared" si="8"/>
        <v>2025</v>
      </c>
      <c r="Q15" s="1336">
        <f t="shared" si="8"/>
        <v>2026</v>
      </c>
      <c r="R15" s="1336">
        <f t="shared" si="8"/>
        <v>2027</v>
      </c>
      <c r="S15" s="1336">
        <f t="shared" si="8"/>
        <v>2028</v>
      </c>
      <c r="T15" s="1336">
        <f aca="true" t="shared" si="9" ref="T15:AC15">S15+1</f>
        <v>2029</v>
      </c>
      <c r="U15" s="1336">
        <f t="shared" si="9"/>
        <v>2030</v>
      </c>
      <c r="V15" s="1336">
        <f t="shared" si="9"/>
        <v>2031</v>
      </c>
      <c r="W15" s="1336">
        <f t="shared" si="9"/>
        <v>2032</v>
      </c>
      <c r="X15" s="1336">
        <f t="shared" si="9"/>
        <v>2033</v>
      </c>
      <c r="Y15" s="1336">
        <f t="shared" si="9"/>
        <v>2034</v>
      </c>
      <c r="Z15" s="1336">
        <f t="shared" si="9"/>
        <v>2035</v>
      </c>
      <c r="AA15" s="1336">
        <f t="shared" si="9"/>
        <v>2036</v>
      </c>
      <c r="AB15" s="1336">
        <f t="shared" si="9"/>
        <v>2037</v>
      </c>
      <c r="AC15" s="1340">
        <f t="shared" si="9"/>
        <v>2038</v>
      </c>
    </row>
    <row r="16" spans="1:29" ht="13.5" thickBot="1">
      <c r="A16" s="185"/>
      <c r="B16" s="377" t="s">
        <v>17</v>
      </c>
      <c r="C16" s="382" t="str">
        <f>IF('0 Úvod'!$M$3="English",Slovnik!D146,Slovnik!C146)</f>
        <v>Scénář bez projektu</v>
      </c>
      <c r="D16" s="379" t="str">
        <f>D3</f>
        <v>Celkem</v>
      </c>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41"/>
    </row>
    <row r="17" spans="1:29" ht="12">
      <c r="A17" s="185"/>
      <c r="B17" s="617"/>
      <c r="C17" s="618" t="str">
        <f>C4</f>
        <v>Příjmy z poplatků za infrastrukturu</v>
      </c>
      <c r="D17" s="316">
        <f>SUM(E17:AC17,E23:AC23)</f>
        <v>0</v>
      </c>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8"/>
    </row>
    <row r="18" spans="1:29" ht="12">
      <c r="A18" s="185"/>
      <c r="B18" s="619"/>
      <c r="C18" s="620" t="str">
        <f>C5</f>
        <v>Ostatní příjmy</v>
      </c>
      <c r="D18" s="320">
        <f>SUM(E18:AC18,E24:AC24)</f>
        <v>0</v>
      </c>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50"/>
    </row>
    <row r="19" spans="1:29" ht="12.75" thickBot="1">
      <c r="A19" s="185"/>
      <c r="B19" s="621"/>
      <c r="C19" s="622" t="str">
        <f>C6</f>
        <v>Celkové provozní příjmy</v>
      </c>
      <c r="D19" s="317">
        <f>SUM(E19:AC19,E25:AC25)</f>
        <v>0</v>
      </c>
      <c r="E19" s="318">
        <f aca="true" t="shared" si="10" ref="E19:S19">E17+E18</f>
        <v>0</v>
      </c>
      <c r="F19" s="318">
        <f t="shared" si="10"/>
        <v>0</v>
      </c>
      <c r="G19" s="318">
        <f t="shared" si="10"/>
        <v>0</v>
      </c>
      <c r="H19" s="318">
        <f t="shared" si="10"/>
        <v>0</v>
      </c>
      <c r="I19" s="318">
        <f t="shared" si="10"/>
        <v>0</v>
      </c>
      <c r="J19" s="318">
        <f t="shared" si="10"/>
        <v>0</v>
      </c>
      <c r="K19" s="318">
        <f t="shared" si="10"/>
        <v>0</v>
      </c>
      <c r="L19" s="318">
        <f t="shared" si="10"/>
        <v>0</v>
      </c>
      <c r="M19" s="318">
        <f t="shared" si="10"/>
        <v>0</v>
      </c>
      <c r="N19" s="318">
        <f t="shared" si="10"/>
        <v>0</v>
      </c>
      <c r="O19" s="318">
        <f t="shared" si="10"/>
        <v>0</v>
      </c>
      <c r="P19" s="318">
        <f t="shared" si="10"/>
        <v>0</v>
      </c>
      <c r="Q19" s="318">
        <f t="shared" si="10"/>
        <v>0</v>
      </c>
      <c r="R19" s="318">
        <f t="shared" si="10"/>
        <v>0</v>
      </c>
      <c r="S19" s="318">
        <f t="shared" si="10"/>
        <v>0</v>
      </c>
      <c r="T19" s="318">
        <f aca="true" t="shared" si="11" ref="T19:AC19">T17+T18</f>
        <v>0</v>
      </c>
      <c r="U19" s="318">
        <f t="shared" si="11"/>
        <v>0</v>
      </c>
      <c r="V19" s="318">
        <f t="shared" si="11"/>
        <v>0</v>
      </c>
      <c r="W19" s="318">
        <f t="shared" si="11"/>
        <v>0</v>
      </c>
      <c r="X19" s="318">
        <f t="shared" si="11"/>
        <v>0</v>
      </c>
      <c r="Y19" s="318">
        <f t="shared" si="11"/>
        <v>0</v>
      </c>
      <c r="Z19" s="318">
        <f t="shared" si="11"/>
        <v>0</v>
      </c>
      <c r="AA19" s="318">
        <f t="shared" si="11"/>
        <v>0</v>
      </c>
      <c r="AB19" s="318">
        <f t="shared" si="11"/>
        <v>0</v>
      </c>
      <c r="AC19" s="319">
        <f t="shared" si="11"/>
        <v>0</v>
      </c>
    </row>
    <row r="20" spans="1:29" ht="12" thickBot="1">
      <c r="A20" s="185"/>
      <c r="B20" s="188"/>
      <c r="C20" s="185"/>
      <c r="D20" s="189"/>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row>
    <row r="21" spans="2:29" ht="12.75">
      <c r="B21" s="374" t="s">
        <v>23</v>
      </c>
      <c r="C21" s="375" t="str">
        <f>C2</f>
        <v>Celkové provozní příjmy</v>
      </c>
      <c r="D21" s="376"/>
      <c r="E21" s="1338">
        <f>AC15+1</f>
        <v>2039</v>
      </c>
      <c r="F21" s="1336">
        <f aca="true" t="shared" si="12" ref="F21:S21">E21+1</f>
        <v>2040</v>
      </c>
      <c r="G21" s="1336">
        <f t="shared" si="12"/>
        <v>2041</v>
      </c>
      <c r="H21" s="1336">
        <f t="shared" si="12"/>
        <v>2042</v>
      </c>
      <c r="I21" s="1336">
        <f t="shared" si="12"/>
        <v>2043</v>
      </c>
      <c r="J21" s="1336">
        <f t="shared" si="12"/>
        <v>2044</v>
      </c>
      <c r="K21" s="1336">
        <f t="shared" si="12"/>
        <v>2045</v>
      </c>
      <c r="L21" s="1336">
        <f t="shared" si="12"/>
        <v>2046</v>
      </c>
      <c r="M21" s="1336">
        <f t="shared" si="12"/>
        <v>2047</v>
      </c>
      <c r="N21" s="1336">
        <f t="shared" si="12"/>
        <v>2048</v>
      </c>
      <c r="O21" s="1336">
        <f t="shared" si="12"/>
        <v>2049</v>
      </c>
      <c r="P21" s="1336">
        <f t="shared" si="12"/>
        <v>2050</v>
      </c>
      <c r="Q21" s="1336">
        <f t="shared" si="12"/>
        <v>2051</v>
      </c>
      <c r="R21" s="1336">
        <f t="shared" si="12"/>
        <v>2052</v>
      </c>
      <c r="S21" s="1336">
        <f t="shared" si="12"/>
        <v>2053</v>
      </c>
      <c r="T21" s="1336">
        <f aca="true" t="shared" si="13" ref="T21:AC21">S21+1</f>
        <v>2054</v>
      </c>
      <c r="U21" s="1336">
        <f t="shared" si="13"/>
        <v>2055</v>
      </c>
      <c r="V21" s="1336">
        <f t="shared" si="13"/>
        <v>2056</v>
      </c>
      <c r="W21" s="1336">
        <f t="shared" si="13"/>
        <v>2057</v>
      </c>
      <c r="X21" s="1336">
        <f t="shared" si="13"/>
        <v>2058</v>
      </c>
      <c r="Y21" s="1336">
        <f t="shared" si="13"/>
        <v>2059</v>
      </c>
      <c r="Z21" s="1336">
        <f t="shared" si="13"/>
        <v>2060</v>
      </c>
      <c r="AA21" s="1336">
        <f t="shared" si="13"/>
        <v>2061</v>
      </c>
      <c r="AB21" s="1336">
        <f t="shared" si="13"/>
        <v>2062</v>
      </c>
      <c r="AC21" s="1340">
        <f t="shared" si="13"/>
        <v>2063</v>
      </c>
    </row>
    <row r="22" spans="1:29" ht="13.5" thickBot="1">
      <c r="A22" s="185"/>
      <c r="B22" s="377" t="s">
        <v>19</v>
      </c>
      <c r="C22" s="380" t="str">
        <f>C16</f>
        <v>Scénář bez projektu</v>
      </c>
      <c r="D22" s="381"/>
      <c r="E22" s="1339"/>
      <c r="F22" s="1337"/>
      <c r="G22" s="1337"/>
      <c r="H22" s="1337"/>
      <c r="I22" s="1337"/>
      <c r="J22" s="1337"/>
      <c r="K22" s="1337"/>
      <c r="L22" s="1337"/>
      <c r="M22" s="1337"/>
      <c r="N22" s="1337"/>
      <c r="O22" s="1337"/>
      <c r="P22" s="1337"/>
      <c r="Q22" s="1337"/>
      <c r="R22" s="1337"/>
      <c r="S22" s="1337"/>
      <c r="T22" s="1337"/>
      <c r="U22" s="1337"/>
      <c r="V22" s="1337"/>
      <c r="W22" s="1337"/>
      <c r="X22" s="1337"/>
      <c r="Y22" s="1337"/>
      <c r="Z22" s="1337"/>
      <c r="AA22" s="1337"/>
      <c r="AB22" s="1337"/>
      <c r="AC22" s="1341"/>
    </row>
    <row r="23" spans="1:29" ht="12">
      <c r="A23" s="185"/>
      <c r="B23" s="623"/>
      <c r="C23" s="624" t="str">
        <f>C4</f>
        <v>Příjmy z poplatků za infrastrukturu</v>
      </c>
      <c r="D23" s="625"/>
      <c r="E23" s="1051"/>
      <c r="F23" s="1051"/>
      <c r="G23" s="1051"/>
      <c r="H23" s="1051"/>
      <c r="I23" s="1051"/>
      <c r="J23" s="1051"/>
      <c r="K23" s="1051"/>
      <c r="L23" s="1051"/>
      <c r="M23" s="1051"/>
      <c r="N23" s="1051"/>
      <c r="O23" s="1051"/>
      <c r="P23" s="1051"/>
      <c r="Q23" s="1051"/>
      <c r="R23" s="1051"/>
      <c r="S23" s="1051"/>
      <c r="T23" s="1051"/>
      <c r="U23" s="1051"/>
      <c r="V23" s="1051"/>
      <c r="W23" s="1051"/>
      <c r="X23" s="1051"/>
      <c r="Y23" s="1051"/>
      <c r="Z23" s="1051"/>
      <c r="AA23" s="1051"/>
      <c r="AB23" s="1051"/>
      <c r="AC23" s="1052"/>
    </row>
    <row r="24" spans="1:29" ht="12">
      <c r="A24" s="185"/>
      <c r="B24" s="626"/>
      <c r="C24" s="627" t="str">
        <f>C11</f>
        <v>Ostatní příjmy</v>
      </c>
      <c r="D24" s="628"/>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4"/>
    </row>
    <row r="25" spans="1:29" ht="12.75" thickBot="1">
      <c r="A25" s="185"/>
      <c r="B25" s="621"/>
      <c r="C25" s="629" t="str">
        <f>C12</f>
        <v>Celkové provozní příjmy</v>
      </c>
      <c r="D25" s="630"/>
      <c r="E25" s="318">
        <f aca="true" t="shared" si="14" ref="E25:S25">E23+E24</f>
        <v>0</v>
      </c>
      <c r="F25" s="318">
        <f t="shared" si="14"/>
        <v>0</v>
      </c>
      <c r="G25" s="318">
        <f t="shared" si="14"/>
        <v>0</v>
      </c>
      <c r="H25" s="318">
        <f t="shared" si="14"/>
        <v>0</v>
      </c>
      <c r="I25" s="318">
        <f t="shared" si="14"/>
        <v>0</v>
      </c>
      <c r="J25" s="318">
        <f t="shared" si="14"/>
        <v>0</v>
      </c>
      <c r="K25" s="318">
        <f t="shared" si="14"/>
        <v>0</v>
      </c>
      <c r="L25" s="318">
        <f t="shared" si="14"/>
        <v>0</v>
      </c>
      <c r="M25" s="318">
        <f t="shared" si="14"/>
        <v>0</v>
      </c>
      <c r="N25" s="318">
        <f t="shared" si="14"/>
        <v>0</v>
      </c>
      <c r="O25" s="318">
        <f t="shared" si="14"/>
        <v>0</v>
      </c>
      <c r="P25" s="318">
        <f t="shared" si="14"/>
        <v>0</v>
      </c>
      <c r="Q25" s="318">
        <f t="shared" si="14"/>
        <v>0</v>
      </c>
      <c r="R25" s="318">
        <f t="shared" si="14"/>
        <v>0</v>
      </c>
      <c r="S25" s="318">
        <f t="shared" si="14"/>
        <v>0</v>
      </c>
      <c r="T25" s="318">
        <f aca="true" t="shared" si="15" ref="T25:AC25">T23+T24</f>
        <v>0</v>
      </c>
      <c r="U25" s="318">
        <f t="shared" si="15"/>
        <v>0</v>
      </c>
      <c r="V25" s="318">
        <f t="shared" si="15"/>
        <v>0</v>
      </c>
      <c r="W25" s="318">
        <f t="shared" si="15"/>
        <v>0</v>
      </c>
      <c r="X25" s="318">
        <f t="shared" si="15"/>
        <v>0</v>
      </c>
      <c r="Y25" s="318">
        <f t="shared" si="15"/>
        <v>0</v>
      </c>
      <c r="Z25" s="318">
        <f t="shared" si="15"/>
        <v>0</v>
      </c>
      <c r="AA25" s="318">
        <f t="shared" si="15"/>
        <v>0</v>
      </c>
      <c r="AB25" s="318">
        <f t="shared" si="15"/>
        <v>0</v>
      </c>
      <c r="AC25" s="319">
        <f t="shared" si="15"/>
        <v>0</v>
      </c>
    </row>
    <row r="26" spans="1:29" ht="12">
      <c r="A26" s="185"/>
      <c r="B26" s="191"/>
      <c r="C26" s="192"/>
      <c r="D26" s="193"/>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29" ht="12" thickBot="1">
      <c r="A27" s="185"/>
      <c r="B27" s="191"/>
      <c r="C27" s="185"/>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row>
    <row r="28" spans="2:29" ht="12.75" customHeight="1">
      <c r="B28" s="374" t="s">
        <v>101</v>
      </c>
      <c r="C28" s="375" t="str">
        <f>IF('0 Úvod'!$M$3="English",Slovnik!D148,Slovnik!C148)</f>
        <v>Celkové přírůstkové provozní příjmy</v>
      </c>
      <c r="D28" s="1015" t="str">
        <f>D2</f>
        <v>CZK</v>
      </c>
      <c r="E28" s="1336">
        <f>E2</f>
        <v>2014</v>
      </c>
      <c r="F28" s="1336">
        <f aca="true" t="shared" si="16" ref="F28:S28">E28+1</f>
        <v>2015</v>
      </c>
      <c r="G28" s="1336">
        <f t="shared" si="16"/>
        <v>2016</v>
      </c>
      <c r="H28" s="1336">
        <f t="shared" si="16"/>
        <v>2017</v>
      </c>
      <c r="I28" s="1336">
        <f t="shared" si="16"/>
        <v>2018</v>
      </c>
      <c r="J28" s="1336">
        <f t="shared" si="16"/>
        <v>2019</v>
      </c>
      <c r="K28" s="1336">
        <f t="shared" si="16"/>
        <v>2020</v>
      </c>
      <c r="L28" s="1336">
        <f t="shared" si="16"/>
        <v>2021</v>
      </c>
      <c r="M28" s="1336">
        <f t="shared" si="16"/>
        <v>2022</v>
      </c>
      <c r="N28" s="1336">
        <f t="shared" si="16"/>
        <v>2023</v>
      </c>
      <c r="O28" s="1336">
        <f t="shared" si="16"/>
        <v>2024</v>
      </c>
      <c r="P28" s="1336">
        <f t="shared" si="16"/>
        <v>2025</v>
      </c>
      <c r="Q28" s="1336">
        <f t="shared" si="16"/>
        <v>2026</v>
      </c>
      <c r="R28" s="1336">
        <f t="shared" si="16"/>
        <v>2027</v>
      </c>
      <c r="S28" s="1336">
        <f t="shared" si="16"/>
        <v>2028</v>
      </c>
      <c r="T28" s="1336">
        <f aca="true" t="shared" si="17" ref="T28:AC28">S28+1</f>
        <v>2029</v>
      </c>
      <c r="U28" s="1336">
        <f t="shared" si="17"/>
        <v>2030</v>
      </c>
      <c r="V28" s="1336">
        <f t="shared" si="17"/>
        <v>2031</v>
      </c>
      <c r="W28" s="1336">
        <f t="shared" si="17"/>
        <v>2032</v>
      </c>
      <c r="X28" s="1336">
        <f t="shared" si="17"/>
        <v>2033</v>
      </c>
      <c r="Y28" s="1336">
        <f t="shared" si="17"/>
        <v>2034</v>
      </c>
      <c r="Z28" s="1336">
        <f t="shared" si="17"/>
        <v>2035</v>
      </c>
      <c r="AA28" s="1336">
        <f t="shared" si="17"/>
        <v>2036</v>
      </c>
      <c r="AB28" s="1336">
        <f t="shared" si="17"/>
        <v>2037</v>
      </c>
      <c r="AC28" s="1340">
        <f t="shared" si="17"/>
        <v>2038</v>
      </c>
    </row>
    <row r="29" spans="1:29" ht="12.75" customHeight="1" thickBot="1">
      <c r="A29" s="195"/>
      <c r="B29" s="377" t="s">
        <v>17</v>
      </c>
      <c r="C29" s="378" t="str">
        <f>IF('0 Úvod'!$M$3="English",Slovnik!D147,Slovnik!C147)</f>
        <v>Přírůstek cash-flow</v>
      </c>
      <c r="D29" s="379" t="str">
        <f>D3</f>
        <v>Celkem</v>
      </c>
      <c r="E29" s="1337"/>
      <c r="F29" s="1337"/>
      <c r="G29" s="1337"/>
      <c r="H29" s="1337"/>
      <c r="I29" s="1337"/>
      <c r="J29" s="1337"/>
      <c r="K29" s="1337"/>
      <c r="L29" s="1337"/>
      <c r="M29" s="1337"/>
      <c r="N29" s="1337"/>
      <c r="O29" s="1337"/>
      <c r="P29" s="1337"/>
      <c r="Q29" s="1337"/>
      <c r="R29" s="1337"/>
      <c r="S29" s="1337"/>
      <c r="T29" s="1337"/>
      <c r="U29" s="1337"/>
      <c r="V29" s="1337"/>
      <c r="W29" s="1337"/>
      <c r="X29" s="1337"/>
      <c r="Y29" s="1337"/>
      <c r="Z29" s="1337"/>
      <c r="AA29" s="1337"/>
      <c r="AB29" s="1337"/>
      <c r="AC29" s="1341"/>
    </row>
    <row r="30" spans="1:29" ht="12.75" customHeight="1">
      <c r="A30" s="195"/>
      <c r="B30" s="631"/>
      <c r="C30" s="618" t="str">
        <f>C4</f>
        <v>Příjmy z poplatků za infrastrukturu</v>
      </c>
      <c r="D30" s="315">
        <f>SUM(E30:AC30,E36:AC36)</f>
        <v>0</v>
      </c>
      <c r="E30" s="313">
        <f>E4-E17</f>
        <v>0</v>
      </c>
      <c r="F30" s="313">
        <f aca="true" t="shared" si="18" ref="F30:S32">F4-F17</f>
        <v>0</v>
      </c>
      <c r="G30" s="313">
        <f t="shared" si="18"/>
        <v>0</v>
      </c>
      <c r="H30" s="313">
        <f t="shared" si="18"/>
        <v>0</v>
      </c>
      <c r="I30" s="313">
        <f t="shared" si="18"/>
        <v>0</v>
      </c>
      <c r="J30" s="313">
        <f t="shared" si="18"/>
        <v>0</v>
      </c>
      <c r="K30" s="313">
        <f t="shared" si="18"/>
        <v>0</v>
      </c>
      <c r="L30" s="313">
        <f t="shared" si="18"/>
        <v>0</v>
      </c>
      <c r="M30" s="313">
        <f t="shared" si="18"/>
        <v>0</v>
      </c>
      <c r="N30" s="313">
        <f t="shared" si="18"/>
        <v>0</v>
      </c>
      <c r="O30" s="313">
        <f t="shared" si="18"/>
        <v>0</v>
      </c>
      <c r="P30" s="313">
        <f t="shared" si="18"/>
        <v>0</v>
      </c>
      <c r="Q30" s="313">
        <f t="shared" si="18"/>
        <v>0</v>
      </c>
      <c r="R30" s="313">
        <f t="shared" si="18"/>
        <v>0</v>
      </c>
      <c r="S30" s="313">
        <f t="shared" si="18"/>
        <v>0</v>
      </c>
      <c r="T30" s="313">
        <f aca="true" t="shared" si="19" ref="T30:AC30">T4-T17</f>
        <v>0</v>
      </c>
      <c r="U30" s="313">
        <f t="shared" si="19"/>
        <v>0</v>
      </c>
      <c r="V30" s="313">
        <f t="shared" si="19"/>
        <v>0</v>
      </c>
      <c r="W30" s="313">
        <f t="shared" si="19"/>
        <v>0</v>
      </c>
      <c r="X30" s="313">
        <f t="shared" si="19"/>
        <v>0</v>
      </c>
      <c r="Y30" s="313">
        <f t="shared" si="19"/>
        <v>0</v>
      </c>
      <c r="Z30" s="313">
        <f t="shared" si="19"/>
        <v>0</v>
      </c>
      <c r="AA30" s="313">
        <f t="shared" si="19"/>
        <v>0</v>
      </c>
      <c r="AB30" s="313">
        <f t="shared" si="19"/>
        <v>0</v>
      </c>
      <c r="AC30" s="314">
        <f t="shared" si="19"/>
        <v>0</v>
      </c>
    </row>
    <row r="31" spans="1:29" ht="12.75" customHeight="1">
      <c r="A31" s="195"/>
      <c r="B31" s="632"/>
      <c r="C31" s="620" t="str">
        <f>C18</f>
        <v>Ostatní příjmy</v>
      </c>
      <c r="D31" s="320">
        <f>SUM(E31:AC31,E37:AC37)</f>
        <v>0</v>
      </c>
      <c r="E31" s="321">
        <f>E5-E18</f>
        <v>0</v>
      </c>
      <c r="F31" s="321">
        <f t="shared" si="18"/>
        <v>0</v>
      </c>
      <c r="G31" s="321">
        <f t="shared" si="18"/>
        <v>0</v>
      </c>
      <c r="H31" s="321">
        <f t="shared" si="18"/>
        <v>0</v>
      </c>
      <c r="I31" s="321">
        <f t="shared" si="18"/>
        <v>0</v>
      </c>
      <c r="J31" s="321">
        <f t="shared" si="18"/>
        <v>0</v>
      </c>
      <c r="K31" s="321">
        <f t="shared" si="18"/>
        <v>0</v>
      </c>
      <c r="L31" s="321">
        <f t="shared" si="18"/>
        <v>0</v>
      </c>
      <c r="M31" s="321">
        <f t="shared" si="18"/>
        <v>0</v>
      </c>
      <c r="N31" s="321">
        <f t="shared" si="18"/>
        <v>0</v>
      </c>
      <c r="O31" s="321">
        <f t="shared" si="18"/>
        <v>0</v>
      </c>
      <c r="P31" s="321">
        <f t="shared" si="18"/>
        <v>0</v>
      </c>
      <c r="Q31" s="321">
        <f t="shared" si="18"/>
        <v>0</v>
      </c>
      <c r="R31" s="321">
        <f t="shared" si="18"/>
        <v>0</v>
      </c>
      <c r="S31" s="321">
        <f t="shared" si="18"/>
        <v>0</v>
      </c>
      <c r="T31" s="321">
        <f aca="true" t="shared" si="20" ref="T31:AC31">T5-T18</f>
        <v>0</v>
      </c>
      <c r="U31" s="321">
        <f t="shared" si="20"/>
        <v>0</v>
      </c>
      <c r="V31" s="321">
        <f t="shared" si="20"/>
        <v>0</v>
      </c>
      <c r="W31" s="321">
        <f t="shared" si="20"/>
        <v>0</v>
      </c>
      <c r="X31" s="321">
        <f t="shared" si="20"/>
        <v>0</v>
      </c>
      <c r="Y31" s="321">
        <f t="shared" si="20"/>
        <v>0</v>
      </c>
      <c r="Z31" s="321">
        <f t="shared" si="20"/>
        <v>0</v>
      </c>
      <c r="AA31" s="321">
        <f t="shared" si="20"/>
        <v>0</v>
      </c>
      <c r="AB31" s="321">
        <f t="shared" si="20"/>
        <v>0</v>
      </c>
      <c r="AC31" s="322">
        <f t="shared" si="20"/>
        <v>0</v>
      </c>
    </row>
    <row r="32" spans="1:29" ht="12.75" thickBot="1">
      <c r="A32" s="185"/>
      <c r="B32" s="621"/>
      <c r="C32" s="622" t="str">
        <f>C28</f>
        <v>Celkové přírůstkové provozní příjmy</v>
      </c>
      <c r="D32" s="317">
        <f>SUM(E32:AC32,E38:AC38)</f>
        <v>0</v>
      </c>
      <c r="E32" s="318">
        <f>E6-E19</f>
        <v>0</v>
      </c>
      <c r="F32" s="318">
        <f t="shared" si="18"/>
        <v>0</v>
      </c>
      <c r="G32" s="318">
        <f t="shared" si="18"/>
        <v>0</v>
      </c>
      <c r="H32" s="318">
        <f t="shared" si="18"/>
        <v>0</v>
      </c>
      <c r="I32" s="318">
        <f t="shared" si="18"/>
        <v>0</v>
      </c>
      <c r="J32" s="318">
        <f t="shared" si="18"/>
        <v>0</v>
      </c>
      <c r="K32" s="318">
        <f t="shared" si="18"/>
        <v>0</v>
      </c>
      <c r="L32" s="318">
        <f t="shared" si="18"/>
        <v>0</v>
      </c>
      <c r="M32" s="318">
        <f t="shared" si="18"/>
        <v>0</v>
      </c>
      <c r="N32" s="318">
        <f t="shared" si="18"/>
        <v>0</v>
      </c>
      <c r="O32" s="318">
        <f t="shared" si="18"/>
        <v>0</v>
      </c>
      <c r="P32" s="318">
        <f t="shared" si="18"/>
        <v>0</v>
      </c>
      <c r="Q32" s="318">
        <f t="shared" si="18"/>
        <v>0</v>
      </c>
      <c r="R32" s="318">
        <f t="shared" si="18"/>
        <v>0</v>
      </c>
      <c r="S32" s="318">
        <f t="shared" si="18"/>
        <v>0</v>
      </c>
      <c r="T32" s="318">
        <f aca="true" t="shared" si="21" ref="T32:AC32">T6-T19</f>
        <v>0</v>
      </c>
      <c r="U32" s="318">
        <f t="shared" si="21"/>
        <v>0</v>
      </c>
      <c r="V32" s="318">
        <f t="shared" si="21"/>
        <v>0</v>
      </c>
      <c r="W32" s="318">
        <f t="shared" si="21"/>
        <v>0</v>
      </c>
      <c r="X32" s="318">
        <f t="shared" si="21"/>
        <v>0</v>
      </c>
      <c r="Y32" s="318">
        <f t="shared" si="21"/>
        <v>0</v>
      </c>
      <c r="Z32" s="318">
        <f t="shared" si="21"/>
        <v>0</v>
      </c>
      <c r="AA32" s="318">
        <f t="shared" si="21"/>
        <v>0</v>
      </c>
      <c r="AB32" s="318">
        <f t="shared" si="21"/>
        <v>0</v>
      </c>
      <c r="AC32" s="319">
        <f t="shared" si="21"/>
        <v>0</v>
      </c>
    </row>
    <row r="33" spans="1:29" ht="12" thickBot="1">
      <c r="A33" s="185"/>
      <c r="B33" s="196"/>
      <c r="C33" s="185"/>
      <c r="D33" s="194"/>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97"/>
    </row>
    <row r="34" spans="2:29" ht="12.75" customHeight="1">
      <c r="B34" s="374" t="s">
        <v>101</v>
      </c>
      <c r="C34" s="375" t="str">
        <f>C28</f>
        <v>Celkové přírůstkové provozní příjmy</v>
      </c>
      <c r="D34" s="376"/>
      <c r="E34" s="1336">
        <f>AC28+1</f>
        <v>2039</v>
      </c>
      <c r="F34" s="1336">
        <f aca="true" t="shared" si="22" ref="F34:S34">E34+1</f>
        <v>2040</v>
      </c>
      <c r="G34" s="1336">
        <f t="shared" si="22"/>
        <v>2041</v>
      </c>
      <c r="H34" s="1336">
        <f t="shared" si="22"/>
        <v>2042</v>
      </c>
      <c r="I34" s="1336">
        <f t="shared" si="22"/>
        <v>2043</v>
      </c>
      <c r="J34" s="1336">
        <f t="shared" si="22"/>
        <v>2044</v>
      </c>
      <c r="K34" s="1336">
        <f t="shared" si="22"/>
        <v>2045</v>
      </c>
      <c r="L34" s="1336">
        <f t="shared" si="22"/>
        <v>2046</v>
      </c>
      <c r="M34" s="1336">
        <f t="shared" si="22"/>
        <v>2047</v>
      </c>
      <c r="N34" s="1336">
        <f t="shared" si="22"/>
        <v>2048</v>
      </c>
      <c r="O34" s="1336">
        <f t="shared" si="22"/>
        <v>2049</v>
      </c>
      <c r="P34" s="1336">
        <f t="shared" si="22"/>
        <v>2050</v>
      </c>
      <c r="Q34" s="1336">
        <f t="shared" si="22"/>
        <v>2051</v>
      </c>
      <c r="R34" s="1336">
        <f t="shared" si="22"/>
        <v>2052</v>
      </c>
      <c r="S34" s="1336">
        <f t="shared" si="22"/>
        <v>2053</v>
      </c>
      <c r="T34" s="1336">
        <f aca="true" t="shared" si="23" ref="T34:AC34">S34+1</f>
        <v>2054</v>
      </c>
      <c r="U34" s="1336">
        <f t="shared" si="23"/>
        <v>2055</v>
      </c>
      <c r="V34" s="1336">
        <f t="shared" si="23"/>
        <v>2056</v>
      </c>
      <c r="W34" s="1336">
        <f t="shared" si="23"/>
        <v>2057</v>
      </c>
      <c r="X34" s="1336">
        <f t="shared" si="23"/>
        <v>2058</v>
      </c>
      <c r="Y34" s="1336">
        <f t="shared" si="23"/>
        <v>2059</v>
      </c>
      <c r="Z34" s="1336">
        <f t="shared" si="23"/>
        <v>2060</v>
      </c>
      <c r="AA34" s="1336">
        <f t="shared" si="23"/>
        <v>2061</v>
      </c>
      <c r="AB34" s="1336">
        <f t="shared" si="23"/>
        <v>2062</v>
      </c>
      <c r="AC34" s="1340">
        <f t="shared" si="23"/>
        <v>2063</v>
      </c>
    </row>
    <row r="35" spans="1:29" ht="12.75" customHeight="1" thickBot="1">
      <c r="A35" s="195"/>
      <c r="B35" s="377" t="s">
        <v>19</v>
      </c>
      <c r="C35" s="380" t="str">
        <f>C29</f>
        <v>Přírůstek cash-flow</v>
      </c>
      <c r="D35" s="381"/>
      <c r="E35" s="1337"/>
      <c r="F35" s="1337"/>
      <c r="G35" s="1337"/>
      <c r="H35" s="1337"/>
      <c r="I35" s="1337"/>
      <c r="J35" s="1337"/>
      <c r="K35" s="1337"/>
      <c r="L35" s="1337"/>
      <c r="M35" s="1337"/>
      <c r="N35" s="1337"/>
      <c r="O35" s="1337"/>
      <c r="P35" s="1337"/>
      <c r="Q35" s="1337"/>
      <c r="R35" s="1337"/>
      <c r="S35" s="1337"/>
      <c r="T35" s="1337"/>
      <c r="U35" s="1337"/>
      <c r="V35" s="1337"/>
      <c r="W35" s="1337"/>
      <c r="X35" s="1337"/>
      <c r="Y35" s="1337"/>
      <c r="Z35" s="1337"/>
      <c r="AA35" s="1337"/>
      <c r="AB35" s="1337"/>
      <c r="AC35" s="1341"/>
    </row>
    <row r="36" spans="1:29" ht="12.75" customHeight="1">
      <c r="A36" s="195"/>
      <c r="B36" s="631"/>
      <c r="C36" s="624" t="str">
        <f>C4</f>
        <v>Příjmy z poplatků za infrastrukturu</v>
      </c>
      <c r="D36" s="633"/>
      <c r="E36" s="313">
        <f aca="true" t="shared" si="24" ref="E36:R38">E10-E23</f>
        <v>0</v>
      </c>
      <c r="F36" s="313">
        <f t="shared" si="24"/>
        <v>0</v>
      </c>
      <c r="G36" s="313">
        <f t="shared" si="24"/>
        <v>0</v>
      </c>
      <c r="H36" s="313">
        <f t="shared" si="24"/>
        <v>0</v>
      </c>
      <c r="I36" s="313">
        <f t="shared" si="24"/>
        <v>0</v>
      </c>
      <c r="J36" s="313">
        <f t="shared" si="24"/>
        <v>0</v>
      </c>
      <c r="K36" s="313">
        <f t="shared" si="24"/>
        <v>0</v>
      </c>
      <c r="L36" s="313">
        <f t="shared" si="24"/>
        <v>0</v>
      </c>
      <c r="M36" s="313">
        <f t="shared" si="24"/>
        <v>0</v>
      </c>
      <c r="N36" s="313">
        <f t="shared" si="24"/>
        <v>0</v>
      </c>
      <c r="O36" s="313">
        <f t="shared" si="24"/>
        <v>0</v>
      </c>
      <c r="P36" s="313">
        <f t="shared" si="24"/>
        <v>0</v>
      </c>
      <c r="Q36" s="313">
        <f t="shared" si="24"/>
        <v>0</v>
      </c>
      <c r="R36" s="313">
        <f t="shared" si="24"/>
        <v>0</v>
      </c>
      <c r="S36" s="313">
        <f>S10-S23</f>
        <v>0</v>
      </c>
      <c r="T36" s="313">
        <f aca="true" t="shared" si="25" ref="T36:AC36">T10-T23</f>
        <v>0</v>
      </c>
      <c r="U36" s="313">
        <f t="shared" si="25"/>
        <v>0</v>
      </c>
      <c r="V36" s="313">
        <f t="shared" si="25"/>
        <v>0</v>
      </c>
      <c r="W36" s="313">
        <f t="shared" si="25"/>
        <v>0</v>
      </c>
      <c r="X36" s="313">
        <f t="shared" si="25"/>
        <v>0</v>
      </c>
      <c r="Y36" s="313">
        <f t="shared" si="25"/>
        <v>0</v>
      </c>
      <c r="Z36" s="313">
        <f t="shared" si="25"/>
        <v>0</v>
      </c>
      <c r="AA36" s="313">
        <f t="shared" si="25"/>
        <v>0</v>
      </c>
      <c r="AB36" s="313">
        <f t="shared" si="25"/>
        <v>0</v>
      </c>
      <c r="AC36" s="314">
        <f t="shared" si="25"/>
        <v>0</v>
      </c>
    </row>
    <row r="37" spans="1:29" ht="12.75" customHeight="1">
      <c r="A37" s="195"/>
      <c r="B37" s="632"/>
      <c r="C37" s="627" t="str">
        <f>C24</f>
        <v>Ostatní příjmy</v>
      </c>
      <c r="D37" s="634"/>
      <c r="E37" s="321">
        <f t="shared" si="24"/>
        <v>0</v>
      </c>
      <c r="F37" s="321">
        <f t="shared" si="24"/>
        <v>0</v>
      </c>
      <c r="G37" s="321">
        <f t="shared" si="24"/>
        <v>0</v>
      </c>
      <c r="H37" s="321">
        <f t="shared" si="24"/>
        <v>0</v>
      </c>
      <c r="I37" s="321">
        <f t="shared" si="24"/>
        <v>0</v>
      </c>
      <c r="J37" s="321">
        <f t="shared" si="24"/>
        <v>0</v>
      </c>
      <c r="K37" s="321">
        <f t="shared" si="24"/>
        <v>0</v>
      </c>
      <c r="L37" s="321">
        <f t="shared" si="24"/>
        <v>0</v>
      </c>
      <c r="M37" s="321">
        <f t="shared" si="24"/>
        <v>0</v>
      </c>
      <c r="N37" s="321">
        <f t="shared" si="24"/>
        <v>0</v>
      </c>
      <c r="O37" s="321">
        <f t="shared" si="24"/>
        <v>0</v>
      </c>
      <c r="P37" s="321">
        <f t="shared" si="24"/>
        <v>0</v>
      </c>
      <c r="Q37" s="321">
        <f t="shared" si="24"/>
        <v>0</v>
      </c>
      <c r="R37" s="321">
        <f t="shared" si="24"/>
        <v>0</v>
      </c>
      <c r="S37" s="321">
        <f>S11-S24</f>
        <v>0</v>
      </c>
      <c r="T37" s="321">
        <f aca="true" t="shared" si="26" ref="T37:AC37">T11-T24</f>
        <v>0</v>
      </c>
      <c r="U37" s="321">
        <f t="shared" si="26"/>
        <v>0</v>
      </c>
      <c r="V37" s="321">
        <f t="shared" si="26"/>
        <v>0</v>
      </c>
      <c r="W37" s="321">
        <f t="shared" si="26"/>
        <v>0</v>
      </c>
      <c r="X37" s="321">
        <f t="shared" si="26"/>
        <v>0</v>
      </c>
      <c r="Y37" s="321">
        <f t="shared" si="26"/>
        <v>0</v>
      </c>
      <c r="Z37" s="321">
        <f t="shared" si="26"/>
        <v>0</v>
      </c>
      <c r="AA37" s="321">
        <f t="shared" si="26"/>
        <v>0</v>
      </c>
      <c r="AB37" s="321">
        <f t="shared" si="26"/>
        <v>0</v>
      </c>
      <c r="AC37" s="322">
        <f t="shared" si="26"/>
        <v>0</v>
      </c>
    </row>
    <row r="38" spans="1:29" ht="12.75" thickBot="1">
      <c r="A38" s="185"/>
      <c r="B38" s="621"/>
      <c r="C38" s="629" t="str">
        <f>C34</f>
        <v>Celkové přírůstkové provozní příjmy</v>
      </c>
      <c r="D38" s="630"/>
      <c r="E38" s="318">
        <f t="shared" si="24"/>
        <v>0</v>
      </c>
      <c r="F38" s="318">
        <f t="shared" si="24"/>
        <v>0</v>
      </c>
      <c r="G38" s="318">
        <f t="shared" si="24"/>
        <v>0</v>
      </c>
      <c r="H38" s="318">
        <f t="shared" si="24"/>
        <v>0</v>
      </c>
      <c r="I38" s="318">
        <f t="shared" si="24"/>
        <v>0</v>
      </c>
      <c r="J38" s="318">
        <f t="shared" si="24"/>
        <v>0</v>
      </c>
      <c r="K38" s="318">
        <f t="shared" si="24"/>
        <v>0</v>
      </c>
      <c r="L38" s="318">
        <f t="shared" si="24"/>
        <v>0</v>
      </c>
      <c r="M38" s="318">
        <f t="shared" si="24"/>
        <v>0</v>
      </c>
      <c r="N38" s="318">
        <f t="shared" si="24"/>
        <v>0</v>
      </c>
      <c r="O38" s="318">
        <f t="shared" si="24"/>
        <v>0</v>
      </c>
      <c r="P38" s="318">
        <f t="shared" si="24"/>
        <v>0</v>
      </c>
      <c r="Q38" s="318">
        <f t="shared" si="24"/>
        <v>0</v>
      </c>
      <c r="R38" s="318">
        <f t="shared" si="24"/>
        <v>0</v>
      </c>
      <c r="S38" s="318">
        <f>S12-S25</f>
        <v>0</v>
      </c>
      <c r="T38" s="318">
        <f aca="true" t="shared" si="27" ref="T38:AC38">T12-T25</f>
        <v>0</v>
      </c>
      <c r="U38" s="318">
        <f t="shared" si="27"/>
        <v>0</v>
      </c>
      <c r="V38" s="318">
        <f t="shared" si="27"/>
        <v>0</v>
      </c>
      <c r="W38" s="318">
        <f t="shared" si="27"/>
        <v>0</v>
      </c>
      <c r="X38" s="318">
        <f t="shared" si="27"/>
        <v>0</v>
      </c>
      <c r="Y38" s="318">
        <f t="shared" si="27"/>
        <v>0</v>
      </c>
      <c r="Z38" s="318">
        <f t="shared" si="27"/>
        <v>0</v>
      </c>
      <c r="AA38" s="318">
        <f t="shared" si="27"/>
        <v>0</v>
      </c>
      <c r="AB38" s="318">
        <f t="shared" si="27"/>
        <v>0</v>
      </c>
      <c r="AC38" s="319">
        <f t="shared" si="27"/>
        <v>0</v>
      </c>
    </row>
    <row r="39" spans="1:19" ht="12">
      <c r="A39" s="185"/>
      <c r="B39" s="191"/>
      <c r="C39" s="192"/>
      <c r="D39" s="193"/>
      <c r="E39" s="194"/>
      <c r="F39" s="194"/>
      <c r="G39" s="194"/>
      <c r="H39" s="194"/>
      <c r="I39" s="194"/>
      <c r="J39" s="194"/>
      <c r="K39" s="194"/>
      <c r="L39" s="194"/>
      <c r="M39" s="194"/>
      <c r="N39" s="194"/>
      <c r="O39" s="194"/>
      <c r="P39" s="194"/>
      <c r="Q39" s="194"/>
      <c r="R39" s="194"/>
      <c r="S39" s="194"/>
    </row>
    <row r="40" ht="12.75" thickBot="1">
      <c r="B40" s="198"/>
    </row>
    <row r="41" spans="2:16" ht="11.25">
      <c r="B41" s="1282" t="str">
        <f>IF('0 Úvod'!$M$3="English",Slovnik!D150,Slovnik!C150)</f>
        <v>Komentáře</v>
      </c>
      <c r="C41" s="1283"/>
      <c r="D41" s="1283"/>
      <c r="E41" s="1283"/>
      <c r="F41" s="1283"/>
      <c r="G41" s="1283"/>
      <c r="H41" s="1283"/>
      <c r="I41" s="1283"/>
      <c r="J41" s="1283"/>
      <c r="K41" s="1283"/>
      <c r="L41" s="1283"/>
      <c r="M41" s="1283"/>
      <c r="N41" s="1283"/>
      <c r="O41" s="1283"/>
      <c r="P41" s="1284"/>
    </row>
    <row r="42" spans="2:16" ht="12" thickBot="1">
      <c r="B42" s="1285"/>
      <c r="C42" s="1286"/>
      <c r="D42" s="1286"/>
      <c r="E42" s="1286"/>
      <c r="F42" s="1286"/>
      <c r="G42" s="1286"/>
      <c r="H42" s="1286"/>
      <c r="I42" s="1286"/>
      <c r="J42" s="1286"/>
      <c r="K42" s="1286"/>
      <c r="L42" s="1286"/>
      <c r="M42" s="1286"/>
      <c r="N42" s="1286"/>
      <c r="O42" s="1286"/>
      <c r="P42" s="1287"/>
    </row>
    <row r="43" spans="2:16" ht="12.75" customHeight="1">
      <c r="B43" s="1327"/>
      <c r="C43" s="1328"/>
      <c r="D43" s="1328"/>
      <c r="E43" s="1328"/>
      <c r="F43" s="1328"/>
      <c r="G43" s="1328"/>
      <c r="H43" s="1328"/>
      <c r="I43" s="1328"/>
      <c r="J43" s="1328"/>
      <c r="K43" s="1328"/>
      <c r="L43" s="1328"/>
      <c r="M43" s="1328"/>
      <c r="N43" s="1328"/>
      <c r="O43" s="1328"/>
      <c r="P43" s="1329"/>
    </row>
    <row r="44" spans="2:16" ht="12.75" customHeight="1">
      <c r="B44" s="1330"/>
      <c r="C44" s="1331"/>
      <c r="D44" s="1331"/>
      <c r="E44" s="1331"/>
      <c r="F44" s="1331"/>
      <c r="G44" s="1331"/>
      <c r="H44" s="1331"/>
      <c r="I44" s="1331"/>
      <c r="J44" s="1331"/>
      <c r="K44" s="1331"/>
      <c r="L44" s="1331"/>
      <c r="M44" s="1331"/>
      <c r="N44" s="1331"/>
      <c r="O44" s="1331"/>
      <c r="P44" s="1332"/>
    </row>
    <row r="45" spans="2:16" ht="12.75" customHeight="1" thickBot="1">
      <c r="B45" s="1333"/>
      <c r="C45" s="1334"/>
      <c r="D45" s="1334"/>
      <c r="E45" s="1334"/>
      <c r="F45" s="1334"/>
      <c r="G45" s="1334"/>
      <c r="H45" s="1334"/>
      <c r="I45" s="1334"/>
      <c r="J45" s="1334"/>
      <c r="K45" s="1334"/>
      <c r="L45" s="1334"/>
      <c r="M45" s="1334"/>
      <c r="N45" s="1334"/>
      <c r="O45" s="1334"/>
      <c r="P45" s="1335"/>
    </row>
    <row r="53" ht="11.25">
      <c r="G53" s="187" t="s">
        <v>1</v>
      </c>
    </row>
  </sheetData>
  <sheetProtection/>
  <mergeCells count="152">
    <mergeCell ref="AC34:AC35"/>
    <mergeCell ref="Z28:Z29"/>
    <mergeCell ref="AA28:AA29"/>
    <mergeCell ref="AB28:AB29"/>
    <mergeCell ref="AC28:AC29"/>
    <mergeCell ref="T34:T35"/>
    <mergeCell ref="U34:U35"/>
    <mergeCell ref="V34:V35"/>
    <mergeCell ref="W34:W35"/>
    <mergeCell ref="X34:X35"/>
    <mergeCell ref="Y34:Y35"/>
    <mergeCell ref="T28:T29"/>
    <mergeCell ref="U28:U29"/>
    <mergeCell ref="V28:V29"/>
    <mergeCell ref="W28:W29"/>
    <mergeCell ref="X28:X29"/>
    <mergeCell ref="Y28:Y29"/>
    <mergeCell ref="Z34:Z35"/>
    <mergeCell ref="AA34:AA35"/>
    <mergeCell ref="AB34:AB35"/>
    <mergeCell ref="AC15:AC16"/>
    <mergeCell ref="T21:T22"/>
    <mergeCell ref="U21:U22"/>
    <mergeCell ref="V21:V22"/>
    <mergeCell ref="W21:W22"/>
    <mergeCell ref="X21:X22"/>
    <mergeCell ref="Y21:Y22"/>
    <mergeCell ref="Z21:Z22"/>
    <mergeCell ref="AA21:AA22"/>
    <mergeCell ref="AB21:AB22"/>
    <mergeCell ref="AC21:AC22"/>
    <mergeCell ref="T15:T16"/>
    <mergeCell ref="U15:U16"/>
    <mergeCell ref="V15:V16"/>
    <mergeCell ref="W15:W16"/>
    <mergeCell ref="X15:X16"/>
    <mergeCell ref="Y15:Y16"/>
    <mergeCell ref="Z15:Z16"/>
    <mergeCell ref="AA15:AA16"/>
    <mergeCell ref="AB15:AB16"/>
    <mergeCell ref="Z2:Z3"/>
    <mergeCell ref="AA2:AA3"/>
    <mergeCell ref="AB2:AB3"/>
    <mergeCell ref="AC2:AC3"/>
    <mergeCell ref="T8:T9"/>
    <mergeCell ref="U8:U9"/>
    <mergeCell ref="V8:V9"/>
    <mergeCell ref="W8:W9"/>
    <mergeCell ref="X8:X9"/>
    <mergeCell ref="Y8:Y9"/>
    <mergeCell ref="T2:T3"/>
    <mergeCell ref="U2:U3"/>
    <mergeCell ref="V2:V3"/>
    <mergeCell ref="W2:W3"/>
    <mergeCell ref="X2:X3"/>
    <mergeCell ref="Y2:Y3"/>
    <mergeCell ref="Z8:Z9"/>
    <mergeCell ref="AA8:AA9"/>
    <mergeCell ref="AB8:AB9"/>
    <mergeCell ref="AC8:AC9"/>
    <mergeCell ref="Q2:Q3"/>
    <mergeCell ref="R2:R3"/>
    <mergeCell ref="S2:S3"/>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E2:E3"/>
    <mergeCell ref="F2:F3"/>
    <mergeCell ref="G2:G3"/>
    <mergeCell ref="H2:H3"/>
    <mergeCell ref="I2:I3"/>
    <mergeCell ref="J2:J3"/>
    <mergeCell ref="K15:K16"/>
    <mergeCell ref="L15:L16"/>
    <mergeCell ref="M15:M16"/>
    <mergeCell ref="N2:N3"/>
    <mergeCell ref="O2:O3"/>
    <mergeCell ref="P2:P3"/>
    <mergeCell ref="K2:K3"/>
    <mergeCell ref="L2:L3"/>
    <mergeCell ref="M2:M3"/>
    <mergeCell ref="N15:N16"/>
    <mergeCell ref="O15:O16"/>
    <mergeCell ref="P15:P16"/>
    <mergeCell ref="Q15:Q16"/>
    <mergeCell ref="R15:R16"/>
    <mergeCell ref="S15:S16"/>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E15:E16"/>
    <mergeCell ref="F15:F16"/>
    <mergeCell ref="G15:G16"/>
    <mergeCell ref="H15:H16"/>
    <mergeCell ref="I15:I16"/>
    <mergeCell ref="J15:J16"/>
    <mergeCell ref="R28:R29"/>
    <mergeCell ref="S28:S29"/>
    <mergeCell ref="E34:E35"/>
    <mergeCell ref="F34:F35"/>
    <mergeCell ref="G34:G35"/>
    <mergeCell ref="H34:H35"/>
    <mergeCell ref="I34:I35"/>
    <mergeCell ref="J34:J35"/>
    <mergeCell ref="K34:K35"/>
    <mergeCell ref="R34:R35"/>
    <mergeCell ref="S34:S35"/>
    <mergeCell ref="E28:E29"/>
    <mergeCell ref="F28:F29"/>
    <mergeCell ref="G28:G29"/>
    <mergeCell ref="H28:H29"/>
    <mergeCell ref="I28:I29"/>
    <mergeCell ref="J28:J29"/>
    <mergeCell ref="K28:K29"/>
    <mergeCell ref="L28:L29"/>
    <mergeCell ref="M28:M29"/>
    <mergeCell ref="B43:P45"/>
    <mergeCell ref="B41:P42"/>
    <mergeCell ref="L34:L35"/>
    <mergeCell ref="M34:M35"/>
    <mergeCell ref="N34:N35"/>
    <mergeCell ref="O34:O35"/>
    <mergeCell ref="P34:P35"/>
    <mergeCell ref="Q34:Q35"/>
    <mergeCell ref="N28:N29"/>
    <mergeCell ref="O28:O29"/>
    <mergeCell ref="P28:P29"/>
    <mergeCell ref="Q28:Q29"/>
  </mergeCells>
  <printOptions/>
  <pageMargins left="0.3937007874015748" right="0.15748031496062992" top="0.7874015748031497" bottom="0.7874015748031497" header="0.3937007874015748" footer="0.3937007874015748"/>
  <pageSetup fitToHeight="0" fitToWidth="1" horizontalDpi="600" verticalDpi="600" orientation="landscape" paperSize="9" scale="43" r:id="rId2"/>
  <headerFooter alignWithMargins="0">
    <oddFooter>&amp;L&amp;A&amp;C25.2.2013</oddFooter>
  </headerFooter>
  <legacyDrawing r:id="rId1"/>
</worksheet>
</file>

<file path=xl/worksheets/sheet6.xml><?xml version="1.0" encoding="utf-8"?>
<worksheet xmlns="http://schemas.openxmlformats.org/spreadsheetml/2006/main" xmlns:r="http://schemas.openxmlformats.org/officeDocument/2006/relationships">
  <sheetPr codeName="List2">
    <tabColor theme="9" tint="0.39998000860214233"/>
    <pageSetUpPr fitToPage="1"/>
  </sheetPr>
  <dimension ref="A1:AC68"/>
  <sheetViews>
    <sheetView zoomScale="80" zoomScaleNormal="80" zoomScaleSheetLayoutView="75" zoomScalePageLayoutView="0" workbookViewId="0" topLeftCell="A16">
      <selection activeCell="H19" sqref="H19"/>
    </sheetView>
  </sheetViews>
  <sheetFormatPr defaultColWidth="9.140625" defaultRowHeight="12.75"/>
  <cols>
    <col min="1" max="1" width="2.7109375" style="58" customWidth="1"/>
    <col min="2" max="2" width="5.7109375" style="58" customWidth="1"/>
    <col min="3" max="3" width="42.421875" style="58" customWidth="1"/>
    <col min="4" max="4" width="12.7109375" style="58" customWidth="1"/>
    <col min="5" max="17" width="10.7109375" style="58" customWidth="1"/>
    <col min="18" max="18" width="10.8515625" style="58" customWidth="1"/>
    <col min="19" max="29" width="10.7109375" style="58" customWidth="1"/>
    <col min="30" max="35" width="8.7109375" style="58" bestFit="1" customWidth="1"/>
    <col min="36" max="16384" width="9.140625" style="58" customWidth="1"/>
  </cols>
  <sheetData>
    <row r="1" spans="1:19" ht="12" thickBot="1">
      <c r="A1" s="56"/>
      <c r="B1" s="56"/>
      <c r="C1" s="56"/>
      <c r="D1" s="56"/>
      <c r="E1" s="57"/>
      <c r="F1" s="56"/>
      <c r="G1" s="56"/>
      <c r="H1" s="56"/>
      <c r="I1" s="56"/>
      <c r="J1" s="56"/>
      <c r="K1" s="56"/>
      <c r="L1" s="56"/>
      <c r="M1" s="56"/>
      <c r="N1" s="56"/>
      <c r="O1" s="56"/>
      <c r="P1" s="56"/>
      <c r="Q1" s="56"/>
      <c r="R1" s="56"/>
      <c r="S1" s="56"/>
    </row>
    <row r="2" spans="2:29" ht="12.75" customHeight="1">
      <c r="B2" s="410" t="s">
        <v>21</v>
      </c>
      <c r="C2" s="409" t="str">
        <f>IF('0 Úvod'!$M$3="English",Slovnik!D152,Slovnik!C152)</f>
        <v>Úspory na silniční a železniční infrastruktuře</v>
      </c>
      <c r="D2" s="416" t="s">
        <v>134</v>
      </c>
      <c r="E2" s="1363">
        <f>'0 Úvod'!G18</f>
        <v>2014</v>
      </c>
      <c r="F2" s="1363">
        <f aca="true" t="shared" si="0" ref="F2:S2">E2+1</f>
        <v>2015</v>
      </c>
      <c r="G2" s="1363">
        <f t="shared" si="0"/>
        <v>2016</v>
      </c>
      <c r="H2" s="1363">
        <f t="shared" si="0"/>
        <v>2017</v>
      </c>
      <c r="I2" s="1363">
        <f t="shared" si="0"/>
        <v>2018</v>
      </c>
      <c r="J2" s="1363">
        <f t="shared" si="0"/>
        <v>2019</v>
      </c>
      <c r="K2" s="1363">
        <f t="shared" si="0"/>
        <v>2020</v>
      </c>
      <c r="L2" s="1363">
        <f t="shared" si="0"/>
        <v>2021</v>
      </c>
      <c r="M2" s="1363">
        <f t="shared" si="0"/>
        <v>2022</v>
      </c>
      <c r="N2" s="1363">
        <f t="shared" si="0"/>
        <v>2023</v>
      </c>
      <c r="O2" s="1363">
        <f t="shared" si="0"/>
        <v>2024</v>
      </c>
      <c r="P2" s="1363">
        <f t="shared" si="0"/>
        <v>2025</v>
      </c>
      <c r="Q2" s="1363">
        <f t="shared" si="0"/>
        <v>2026</v>
      </c>
      <c r="R2" s="1363">
        <f t="shared" si="0"/>
        <v>2027</v>
      </c>
      <c r="S2" s="1363">
        <f t="shared" si="0"/>
        <v>2028</v>
      </c>
      <c r="T2" s="1363">
        <f aca="true" t="shared" si="1" ref="T2:AC2">S2+1</f>
        <v>2029</v>
      </c>
      <c r="U2" s="1363">
        <f t="shared" si="1"/>
        <v>2030</v>
      </c>
      <c r="V2" s="1363">
        <f t="shared" si="1"/>
        <v>2031</v>
      </c>
      <c r="W2" s="1363">
        <f t="shared" si="1"/>
        <v>2032</v>
      </c>
      <c r="X2" s="1363">
        <f t="shared" si="1"/>
        <v>2033</v>
      </c>
      <c r="Y2" s="1363">
        <f t="shared" si="1"/>
        <v>2034</v>
      </c>
      <c r="Z2" s="1363">
        <f t="shared" si="1"/>
        <v>2035</v>
      </c>
      <c r="AA2" s="1363">
        <f t="shared" si="1"/>
        <v>2036</v>
      </c>
      <c r="AB2" s="1363">
        <f t="shared" si="1"/>
        <v>2037</v>
      </c>
      <c r="AC2" s="1361">
        <f t="shared" si="1"/>
        <v>2038</v>
      </c>
    </row>
    <row r="3" spans="1:29" ht="13.5" thickBot="1">
      <c r="A3" s="56"/>
      <c r="B3" s="411" t="s">
        <v>17</v>
      </c>
      <c r="C3" s="412"/>
      <c r="D3" s="417" t="str">
        <f>IF('0 Úvod'!$M$3="English",Slovnik!D149,Slovnik!C149)</f>
        <v>Celkem</v>
      </c>
      <c r="E3" s="1364"/>
      <c r="F3" s="1364"/>
      <c r="G3" s="1364"/>
      <c r="H3" s="1364"/>
      <c r="I3" s="1364"/>
      <c r="J3" s="1364"/>
      <c r="K3" s="1364"/>
      <c r="L3" s="1364"/>
      <c r="M3" s="1364"/>
      <c r="N3" s="1364"/>
      <c r="O3" s="1364"/>
      <c r="P3" s="1364"/>
      <c r="Q3" s="1364"/>
      <c r="R3" s="1364"/>
      <c r="S3" s="1364"/>
      <c r="T3" s="1364"/>
      <c r="U3" s="1364"/>
      <c r="V3" s="1364"/>
      <c r="W3" s="1364"/>
      <c r="X3" s="1364"/>
      <c r="Y3" s="1364"/>
      <c r="Z3" s="1364"/>
      <c r="AA3" s="1364"/>
      <c r="AB3" s="1364"/>
      <c r="AC3" s="1362"/>
    </row>
    <row r="4" spans="1:29" ht="12">
      <c r="A4" s="45"/>
      <c r="B4" s="611"/>
      <c r="C4" s="612" t="str">
        <f>IF('0 Úvod'!$M$3="English",Slovnik!D153,Slovnik!C153)</f>
        <v>Náklady na údržbu a opravu silniční infrastruktury</v>
      </c>
      <c r="D4" s="418">
        <f>SUM(E4:AC4,E10:AC10)</f>
        <v>0</v>
      </c>
      <c r="E4" s="60">
        <f>E53*$E$17</f>
        <v>0</v>
      </c>
      <c r="F4" s="60">
        <f>F53*$E$17</f>
        <v>0</v>
      </c>
      <c r="G4" s="60">
        <f aca="true" t="shared" si="2" ref="G4:AC4">G53*$E$17</f>
        <v>0</v>
      </c>
      <c r="H4" s="60">
        <f t="shared" si="2"/>
        <v>0</v>
      </c>
      <c r="I4" s="60">
        <f t="shared" si="2"/>
        <v>0</v>
      </c>
      <c r="J4" s="60">
        <f t="shared" si="2"/>
        <v>0</v>
      </c>
      <c r="K4" s="60">
        <f t="shared" si="2"/>
        <v>0</v>
      </c>
      <c r="L4" s="60">
        <f t="shared" si="2"/>
        <v>0</v>
      </c>
      <c r="M4" s="60">
        <f t="shared" si="2"/>
        <v>0</v>
      </c>
      <c r="N4" s="60">
        <f t="shared" si="2"/>
        <v>0</v>
      </c>
      <c r="O4" s="60">
        <f t="shared" si="2"/>
        <v>0</v>
      </c>
      <c r="P4" s="60">
        <f t="shared" si="2"/>
        <v>0</v>
      </c>
      <c r="Q4" s="60">
        <f t="shared" si="2"/>
        <v>0</v>
      </c>
      <c r="R4" s="60">
        <f t="shared" si="2"/>
        <v>0</v>
      </c>
      <c r="S4" s="60">
        <f t="shared" si="2"/>
        <v>0</v>
      </c>
      <c r="T4" s="60">
        <f t="shared" si="2"/>
        <v>0</v>
      </c>
      <c r="U4" s="60">
        <f t="shared" si="2"/>
        <v>0</v>
      </c>
      <c r="V4" s="60">
        <f t="shared" si="2"/>
        <v>0</v>
      </c>
      <c r="W4" s="60">
        <f t="shared" si="2"/>
        <v>0</v>
      </c>
      <c r="X4" s="60">
        <f t="shared" si="2"/>
        <v>0</v>
      </c>
      <c r="Y4" s="60">
        <f t="shared" si="2"/>
        <v>0</v>
      </c>
      <c r="Z4" s="60">
        <f t="shared" si="2"/>
        <v>0</v>
      </c>
      <c r="AA4" s="60">
        <f t="shared" si="2"/>
        <v>0</v>
      </c>
      <c r="AB4" s="60">
        <f t="shared" si="2"/>
        <v>0</v>
      </c>
      <c r="AC4" s="407">
        <f t="shared" si="2"/>
        <v>0</v>
      </c>
    </row>
    <row r="5" spans="1:29" ht="12">
      <c r="A5" s="45"/>
      <c r="B5" s="613"/>
      <c r="C5" s="614" t="str">
        <f>IF('0 Úvod'!$M$3="English",Slovnik!D154,Slovnik!C154)</f>
        <v>Náklady na údržbu a opravu železniční infrastruktury</v>
      </c>
      <c r="D5" s="419">
        <f>SUM(E5:AC5,E11:AC11)</f>
        <v>0</v>
      </c>
      <c r="E5" s="403">
        <f>$E$21*E54</f>
        <v>0</v>
      </c>
      <c r="F5" s="403">
        <f aca="true" t="shared" si="3" ref="F5:AC5">$E$21*F54</f>
        <v>0</v>
      </c>
      <c r="G5" s="403">
        <f t="shared" si="3"/>
        <v>0</v>
      </c>
      <c r="H5" s="403">
        <f t="shared" si="3"/>
        <v>0</v>
      </c>
      <c r="I5" s="403">
        <f t="shared" si="3"/>
        <v>0</v>
      </c>
      <c r="J5" s="403">
        <f t="shared" si="3"/>
        <v>0</v>
      </c>
      <c r="K5" s="403">
        <f t="shared" si="3"/>
        <v>0</v>
      </c>
      <c r="L5" s="403">
        <f t="shared" si="3"/>
        <v>0</v>
      </c>
      <c r="M5" s="403">
        <f t="shared" si="3"/>
        <v>0</v>
      </c>
      <c r="N5" s="403">
        <f t="shared" si="3"/>
        <v>0</v>
      </c>
      <c r="O5" s="403">
        <f t="shared" si="3"/>
        <v>0</v>
      </c>
      <c r="P5" s="403">
        <f t="shared" si="3"/>
        <v>0</v>
      </c>
      <c r="Q5" s="403">
        <f t="shared" si="3"/>
        <v>0</v>
      </c>
      <c r="R5" s="403">
        <f t="shared" si="3"/>
        <v>0</v>
      </c>
      <c r="S5" s="403">
        <f t="shared" si="3"/>
        <v>0</v>
      </c>
      <c r="T5" s="403">
        <f t="shared" si="3"/>
        <v>0</v>
      </c>
      <c r="U5" s="403">
        <f t="shared" si="3"/>
        <v>0</v>
      </c>
      <c r="V5" s="403">
        <f t="shared" si="3"/>
        <v>0</v>
      </c>
      <c r="W5" s="403">
        <f t="shared" si="3"/>
        <v>0</v>
      </c>
      <c r="X5" s="403">
        <f t="shared" si="3"/>
        <v>0</v>
      </c>
      <c r="Y5" s="403">
        <f t="shared" si="3"/>
        <v>0</v>
      </c>
      <c r="Z5" s="403">
        <f t="shared" si="3"/>
        <v>0</v>
      </c>
      <c r="AA5" s="403">
        <f t="shared" si="3"/>
        <v>0</v>
      </c>
      <c r="AB5" s="403">
        <f t="shared" si="3"/>
        <v>0</v>
      </c>
      <c r="AC5" s="408">
        <f t="shared" si="3"/>
        <v>0</v>
      </c>
    </row>
    <row r="6" spans="1:29" ht="12.75" thickBot="1">
      <c r="A6" s="56"/>
      <c r="B6" s="574"/>
      <c r="C6" s="575" t="str">
        <f>IF('0 Úvod'!$M$3="English",Slovnik!D155,Slovnik!C155)</f>
        <v>Celkové provozní náklady infrastruktury - úspory</v>
      </c>
      <c r="D6" s="427">
        <f>SUM(E6:AC6,E12:AC12)</f>
        <v>0</v>
      </c>
      <c r="E6" s="393">
        <f aca="true" t="shared" si="4" ref="E6:AC6">SUM(E4:E5)</f>
        <v>0</v>
      </c>
      <c r="F6" s="393">
        <f t="shared" si="4"/>
        <v>0</v>
      </c>
      <c r="G6" s="393">
        <f t="shared" si="4"/>
        <v>0</v>
      </c>
      <c r="H6" s="393">
        <f t="shared" si="4"/>
        <v>0</v>
      </c>
      <c r="I6" s="393">
        <f t="shared" si="4"/>
        <v>0</v>
      </c>
      <c r="J6" s="393">
        <f t="shared" si="4"/>
        <v>0</v>
      </c>
      <c r="K6" s="393">
        <f t="shared" si="4"/>
        <v>0</v>
      </c>
      <c r="L6" s="393">
        <f t="shared" si="4"/>
        <v>0</v>
      </c>
      <c r="M6" s="393">
        <f t="shared" si="4"/>
        <v>0</v>
      </c>
      <c r="N6" s="393">
        <f t="shared" si="4"/>
        <v>0</v>
      </c>
      <c r="O6" s="393">
        <f t="shared" si="4"/>
        <v>0</v>
      </c>
      <c r="P6" s="393">
        <f t="shared" si="4"/>
        <v>0</v>
      </c>
      <c r="Q6" s="393">
        <f t="shared" si="4"/>
        <v>0</v>
      </c>
      <c r="R6" s="393">
        <f t="shared" si="4"/>
        <v>0</v>
      </c>
      <c r="S6" s="393">
        <f t="shared" si="4"/>
        <v>0</v>
      </c>
      <c r="T6" s="393">
        <f t="shared" si="4"/>
        <v>0</v>
      </c>
      <c r="U6" s="393">
        <f t="shared" si="4"/>
        <v>0</v>
      </c>
      <c r="V6" s="393">
        <f t="shared" si="4"/>
        <v>0</v>
      </c>
      <c r="W6" s="393">
        <f t="shared" si="4"/>
        <v>0</v>
      </c>
      <c r="X6" s="393">
        <f t="shared" si="4"/>
        <v>0</v>
      </c>
      <c r="Y6" s="393">
        <f t="shared" si="4"/>
        <v>0</v>
      </c>
      <c r="Z6" s="393">
        <f t="shared" si="4"/>
        <v>0</v>
      </c>
      <c r="AA6" s="393">
        <f t="shared" si="4"/>
        <v>0</v>
      </c>
      <c r="AB6" s="393">
        <f t="shared" si="4"/>
        <v>0</v>
      </c>
      <c r="AC6" s="394">
        <f t="shared" si="4"/>
        <v>0</v>
      </c>
    </row>
    <row r="7" spans="1:29" ht="12" thickBot="1">
      <c r="A7" s="56"/>
      <c r="B7" s="61"/>
      <c r="C7" s="56"/>
      <c r="D7" s="73"/>
      <c r="E7" s="57"/>
      <c r="F7" s="57"/>
      <c r="G7" s="57"/>
      <c r="H7" s="57"/>
      <c r="I7" s="57"/>
      <c r="J7" s="57"/>
      <c r="K7" s="57"/>
      <c r="L7" s="57"/>
      <c r="M7" s="57"/>
      <c r="N7" s="57"/>
      <c r="O7" s="57"/>
      <c r="P7" s="57"/>
      <c r="Q7" s="57"/>
      <c r="R7" s="57"/>
      <c r="S7" s="57"/>
      <c r="T7" s="57"/>
      <c r="U7" s="57"/>
      <c r="V7" s="57"/>
      <c r="W7" s="57"/>
      <c r="X7" s="57"/>
      <c r="Y7" s="57"/>
      <c r="Z7" s="57"/>
      <c r="AA7" s="57"/>
      <c r="AB7" s="57"/>
      <c r="AC7" s="57"/>
    </row>
    <row r="8" spans="2:29" ht="12.75">
      <c r="B8" s="410" t="str">
        <f>B2</f>
        <v>5.1.</v>
      </c>
      <c r="C8" s="409" t="str">
        <f>C2</f>
        <v>Úspory na silniční a železniční infrastruktuře</v>
      </c>
      <c r="D8" s="416" t="str">
        <f>D2</f>
        <v>CZK</v>
      </c>
      <c r="E8" s="1363">
        <f>AC2+1</f>
        <v>2039</v>
      </c>
      <c r="F8" s="1363">
        <f aca="true" t="shared" si="5" ref="F8:S8">E8+1</f>
        <v>2040</v>
      </c>
      <c r="G8" s="1363">
        <f t="shared" si="5"/>
        <v>2041</v>
      </c>
      <c r="H8" s="1363">
        <f t="shared" si="5"/>
        <v>2042</v>
      </c>
      <c r="I8" s="1363">
        <f t="shared" si="5"/>
        <v>2043</v>
      </c>
      <c r="J8" s="1363">
        <f t="shared" si="5"/>
        <v>2044</v>
      </c>
      <c r="K8" s="1363">
        <f t="shared" si="5"/>
        <v>2045</v>
      </c>
      <c r="L8" s="1363">
        <f t="shared" si="5"/>
        <v>2046</v>
      </c>
      <c r="M8" s="1363">
        <f t="shared" si="5"/>
        <v>2047</v>
      </c>
      <c r="N8" s="1363">
        <f t="shared" si="5"/>
        <v>2048</v>
      </c>
      <c r="O8" s="1363">
        <f t="shared" si="5"/>
        <v>2049</v>
      </c>
      <c r="P8" s="1363">
        <f t="shared" si="5"/>
        <v>2050</v>
      </c>
      <c r="Q8" s="1363">
        <f t="shared" si="5"/>
        <v>2051</v>
      </c>
      <c r="R8" s="1363">
        <f t="shared" si="5"/>
        <v>2052</v>
      </c>
      <c r="S8" s="1363">
        <f t="shared" si="5"/>
        <v>2053</v>
      </c>
      <c r="T8" s="1363">
        <f aca="true" t="shared" si="6" ref="T8:AC8">S8+1</f>
        <v>2054</v>
      </c>
      <c r="U8" s="1363">
        <f t="shared" si="6"/>
        <v>2055</v>
      </c>
      <c r="V8" s="1363">
        <f t="shared" si="6"/>
        <v>2056</v>
      </c>
      <c r="W8" s="1363">
        <f t="shared" si="6"/>
        <v>2057</v>
      </c>
      <c r="X8" s="1363">
        <f t="shared" si="6"/>
        <v>2058</v>
      </c>
      <c r="Y8" s="1363">
        <f t="shared" si="6"/>
        <v>2059</v>
      </c>
      <c r="Z8" s="1363">
        <f t="shared" si="6"/>
        <v>2060</v>
      </c>
      <c r="AA8" s="1363">
        <f t="shared" si="6"/>
        <v>2061</v>
      </c>
      <c r="AB8" s="1363">
        <f t="shared" si="6"/>
        <v>2062</v>
      </c>
      <c r="AC8" s="1361">
        <f t="shared" si="6"/>
        <v>2063</v>
      </c>
    </row>
    <row r="9" spans="1:29" ht="13.5" thickBot="1">
      <c r="A9" s="56"/>
      <c r="B9" s="411" t="s">
        <v>19</v>
      </c>
      <c r="C9" s="413"/>
      <c r="D9" s="424"/>
      <c r="E9" s="1364"/>
      <c r="F9" s="1364"/>
      <c r="G9" s="1364"/>
      <c r="H9" s="1364"/>
      <c r="I9" s="1364"/>
      <c r="J9" s="1364"/>
      <c r="K9" s="1364"/>
      <c r="L9" s="1364"/>
      <c r="M9" s="1364"/>
      <c r="N9" s="1364"/>
      <c r="O9" s="1364"/>
      <c r="P9" s="1364"/>
      <c r="Q9" s="1364"/>
      <c r="R9" s="1364"/>
      <c r="S9" s="1364"/>
      <c r="T9" s="1364"/>
      <c r="U9" s="1364"/>
      <c r="V9" s="1364"/>
      <c r="W9" s="1364"/>
      <c r="X9" s="1364"/>
      <c r="Y9" s="1364"/>
      <c r="Z9" s="1364"/>
      <c r="AA9" s="1364"/>
      <c r="AB9" s="1364"/>
      <c r="AC9" s="1362"/>
    </row>
    <row r="10" spans="1:29" ht="12">
      <c r="A10" s="56"/>
      <c r="B10" s="611"/>
      <c r="C10" s="615" t="str">
        <f>C4</f>
        <v>Náklady na údržbu a opravu silniční infrastruktury</v>
      </c>
      <c r="D10" s="580"/>
      <c r="E10" s="60">
        <f>E59*$E$17</f>
        <v>0</v>
      </c>
      <c r="F10" s="60">
        <f>F59*$E$17</f>
        <v>0</v>
      </c>
      <c r="G10" s="60">
        <f aca="true" t="shared" si="7" ref="G10:AC10">G59*$E$17</f>
        <v>0</v>
      </c>
      <c r="H10" s="60">
        <f t="shared" si="7"/>
        <v>0</v>
      </c>
      <c r="I10" s="60">
        <f t="shared" si="7"/>
        <v>0</v>
      </c>
      <c r="J10" s="60">
        <f t="shared" si="7"/>
        <v>0</v>
      </c>
      <c r="K10" s="60">
        <f t="shared" si="7"/>
        <v>0</v>
      </c>
      <c r="L10" s="60">
        <f t="shared" si="7"/>
        <v>0</v>
      </c>
      <c r="M10" s="60">
        <f t="shared" si="7"/>
        <v>0</v>
      </c>
      <c r="N10" s="60">
        <f t="shared" si="7"/>
        <v>0</v>
      </c>
      <c r="O10" s="60">
        <f t="shared" si="7"/>
        <v>0</v>
      </c>
      <c r="P10" s="60">
        <f t="shared" si="7"/>
        <v>0</v>
      </c>
      <c r="Q10" s="60">
        <f t="shared" si="7"/>
        <v>0</v>
      </c>
      <c r="R10" s="60">
        <f t="shared" si="7"/>
        <v>0</v>
      </c>
      <c r="S10" s="60">
        <f t="shared" si="7"/>
        <v>0</v>
      </c>
      <c r="T10" s="60">
        <f t="shared" si="7"/>
        <v>0</v>
      </c>
      <c r="U10" s="60">
        <f t="shared" si="7"/>
        <v>0</v>
      </c>
      <c r="V10" s="60">
        <f t="shared" si="7"/>
        <v>0</v>
      </c>
      <c r="W10" s="60">
        <f t="shared" si="7"/>
        <v>0</v>
      </c>
      <c r="X10" s="60">
        <f t="shared" si="7"/>
        <v>0</v>
      </c>
      <c r="Y10" s="60">
        <f t="shared" si="7"/>
        <v>0</v>
      </c>
      <c r="Z10" s="60">
        <f t="shared" si="7"/>
        <v>0</v>
      </c>
      <c r="AA10" s="60">
        <f t="shared" si="7"/>
        <v>0</v>
      </c>
      <c r="AB10" s="60">
        <f t="shared" si="7"/>
        <v>0</v>
      </c>
      <c r="AC10" s="407">
        <f t="shared" si="7"/>
        <v>0</v>
      </c>
    </row>
    <row r="11" spans="1:29" ht="12">
      <c r="A11" s="56"/>
      <c r="B11" s="613"/>
      <c r="C11" s="616" t="str">
        <f>C5</f>
        <v>Náklady na údržbu a opravu železniční infrastruktury</v>
      </c>
      <c r="D11" s="582"/>
      <c r="E11" s="403">
        <f>$E$21*E60</f>
        <v>0</v>
      </c>
      <c r="F11" s="403">
        <f aca="true" t="shared" si="8" ref="F11:AC11">$E$21*F60</f>
        <v>0</v>
      </c>
      <c r="G11" s="403">
        <f t="shared" si="8"/>
        <v>0</v>
      </c>
      <c r="H11" s="403">
        <f t="shared" si="8"/>
        <v>0</v>
      </c>
      <c r="I11" s="403">
        <f t="shared" si="8"/>
        <v>0</v>
      </c>
      <c r="J11" s="403">
        <f t="shared" si="8"/>
        <v>0</v>
      </c>
      <c r="K11" s="403">
        <f t="shared" si="8"/>
        <v>0</v>
      </c>
      <c r="L11" s="403">
        <f t="shared" si="8"/>
        <v>0</v>
      </c>
      <c r="M11" s="403">
        <f t="shared" si="8"/>
        <v>0</v>
      </c>
      <c r="N11" s="403">
        <f t="shared" si="8"/>
        <v>0</v>
      </c>
      <c r="O11" s="403">
        <f t="shared" si="8"/>
        <v>0</v>
      </c>
      <c r="P11" s="403">
        <f t="shared" si="8"/>
        <v>0</v>
      </c>
      <c r="Q11" s="403">
        <f t="shared" si="8"/>
        <v>0</v>
      </c>
      <c r="R11" s="403">
        <f t="shared" si="8"/>
        <v>0</v>
      </c>
      <c r="S11" s="403">
        <f t="shared" si="8"/>
        <v>0</v>
      </c>
      <c r="T11" s="403">
        <f t="shared" si="8"/>
        <v>0</v>
      </c>
      <c r="U11" s="403">
        <f t="shared" si="8"/>
        <v>0</v>
      </c>
      <c r="V11" s="403">
        <f t="shared" si="8"/>
        <v>0</v>
      </c>
      <c r="W11" s="403">
        <f t="shared" si="8"/>
        <v>0</v>
      </c>
      <c r="X11" s="403">
        <f t="shared" si="8"/>
        <v>0</v>
      </c>
      <c r="Y11" s="403">
        <f t="shared" si="8"/>
        <v>0</v>
      </c>
      <c r="Z11" s="403">
        <f t="shared" si="8"/>
        <v>0</v>
      </c>
      <c r="AA11" s="403">
        <f t="shared" si="8"/>
        <v>0</v>
      </c>
      <c r="AB11" s="403">
        <f t="shared" si="8"/>
        <v>0</v>
      </c>
      <c r="AC11" s="408">
        <f t="shared" si="8"/>
        <v>0</v>
      </c>
    </row>
    <row r="12" spans="1:29" ht="12.75" thickBot="1">
      <c r="A12" s="48"/>
      <c r="B12" s="574"/>
      <c r="C12" s="583" t="str">
        <f>C6</f>
        <v>Celkové provozní náklady infrastruktury - úspory</v>
      </c>
      <c r="D12" s="584"/>
      <c r="E12" s="393">
        <f aca="true" t="shared" si="9" ref="E12:AC12">SUM(E10:E11)</f>
        <v>0</v>
      </c>
      <c r="F12" s="393">
        <f t="shared" si="9"/>
        <v>0</v>
      </c>
      <c r="G12" s="393">
        <f t="shared" si="9"/>
        <v>0</v>
      </c>
      <c r="H12" s="393">
        <f t="shared" si="9"/>
        <v>0</v>
      </c>
      <c r="I12" s="393">
        <f t="shared" si="9"/>
        <v>0</v>
      </c>
      <c r="J12" s="393">
        <f t="shared" si="9"/>
        <v>0</v>
      </c>
      <c r="K12" s="393">
        <f t="shared" si="9"/>
        <v>0</v>
      </c>
      <c r="L12" s="393">
        <f t="shared" si="9"/>
        <v>0</v>
      </c>
      <c r="M12" s="393">
        <f t="shared" si="9"/>
        <v>0</v>
      </c>
      <c r="N12" s="393">
        <f t="shared" si="9"/>
        <v>0</v>
      </c>
      <c r="O12" s="393">
        <f t="shared" si="9"/>
        <v>0</v>
      </c>
      <c r="P12" s="393">
        <f t="shared" si="9"/>
        <v>0</v>
      </c>
      <c r="Q12" s="393">
        <f t="shared" si="9"/>
        <v>0</v>
      </c>
      <c r="R12" s="393">
        <f t="shared" si="9"/>
        <v>0</v>
      </c>
      <c r="S12" s="393">
        <f t="shared" si="9"/>
        <v>0</v>
      </c>
      <c r="T12" s="393">
        <f t="shared" si="9"/>
        <v>0</v>
      </c>
      <c r="U12" s="393">
        <f t="shared" si="9"/>
        <v>0</v>
      </c>
      <c r="V12" s="393">
        <f t="shared" si="9"/>
        <v>0</v>
      </c>
      <c r="W12" s="393">
        <f t="shared" si="9"/>
        <v>0</v>
      </c>
      <c r="X12" s="393">
        <f t="shared" si="9"/>
        <v>0</v>
      </c>
      <c r="Y12" s="393">
        <f t="shared" si="9"/>
        <v>0</v>
      </c>
      <c r="Z12" s="393">
        <f t="shared" si="9"/>
        <v>0</v>
      </c>
      <c r="AA12" s="393">
        <f t="shared" si="9"/>
        <v>0</v>
      </c>
      <c r="AB12" s="393">
        <f t="shared" si="9"/>
        <v>0</v>
      </c>
      <c r="AC12" s="394">
        <f t="shared" si="9"/>
        <v>0</v>
      </c>
    </row>
    <row r="13" spans="1:29" ht="12">
      <c r="A13" s="48"/>
      <c r="B13" s="63"/>
      <c r="C13" s="68"/>
      <c r="D13" s="5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row>
    <row r="14" ht="12" thickBot="1"/>
    <row r="15" spans="1:19" ht="51" customHeight="1" thickBot="1">
      <c r="A15" s="49"/>
      <c r="B15" s="441" t="s">
        <v>291</v>
      </c>
      <c r="C15" s="386" t="str">
        <f>IF('0 Úvod'!$M$3="English",Slovnik!D156,Slovnik!C156)</f>
        <v>Údržba a opravy silniční infrastruktury</v>
      </c>
      <c r="D15" s="388" t="str">
        <f>IF('0 Úvod'!$M$3="English",Slovnik!D160,Slovnik!C160)</f>
        <v>Cenová úroveň</v>
      </c>
      <c r="E15" s="387" t="str">
        <f>IF('0 Úvod'!$M$3="English",Slovnik!D161,Slovnik!C161)</f>
        <v>Nákladní [CZK/ 1000 čisté tkm]</v>
      </c>
      <c r="G15" s="78"/>
      <c r="H15" s="78"/>
      <c r="I15" s="49"/>
      <c r="J15" s="49"/>
      <c r="K15" s="49"/>
      <c r="L15" s="49"/>
      <c r="M15" s="49"/>
      <c r="N15" s="49"/>
      <c r="O15" s="49"/>
      <c r="P15" s="49"/>
      <c r="Q15" s="49"/>
      <c r="R15" s="49"/>
      <c r="S15" s="49"/>
    </row>
    <row r="16" spans="1:19" ht="12.75">
      <c r="A16" s="49"/>
      <c r="B16" s="384"/>
      <c r="C16" s="608" t="str">
        <f>IF('0 Úvod'!$M$3="English",Slovnik!D157,Slovnik!C157)</f>
        <v>Základní měrná hodnota v CÚ 2012</v>
      </c>
      <c r="D16" s="606">
        <v>2012</v>
      </c>
      <c r="E16" s="607">
        <v>143.77</v>
      </c>
      <c r="G16" s="78"/>
      <c r="H16" s="78"/>
      <c r="I16" s="49"/>
      <c r="J16" s="49"/>
      <c r="K16" s="49"/>
      <c r="L16" s="49"/>
      <c r="M16" s="49"/>
      <c r="N16" s="49"/>
      <c r="O16" s="49"/>
      <c r="P16" s="49"/>
      <c r="Q16" s="49"/>
      <c r="R16" s="49"/>
      <c r="S16" s="49"/>
    </row>
    <row r="17" spans="1:19" ht="13.5" thickBot="1">
      <c r="A17" s="49"/>
      <c r="B17" s="385"/>
      <c r="C17" s="609" t="str">
        <f>IF('0 Úvod'!$M$3="English",Slovnik!D158,Slovnik!C158)</f>
        <v>Měrná hodnota v CÚ 2014</v>
      </c>
      <c r="D17" s="1055">
        <f>'0 Úvod'!G16</f>
        <v>2014</v>
      </c>
      <c r="E17" s="1202"/>
      <c r="G17" s="78"/>
      <c r="H17" s="78"/>
      <c r="I17" s="49"/>
      <c r="J17" s="49"/>
      <c r="K17" s="49"/>
      <c r="L17" s="49"/>
      <c r="M17" s="49"/>
      <c r="N17" s="49"/>
      <c r="O17" s="49"/>
      <c r="P17" s="49"/>
      <c r="Q17" s="49"/>
      <c r="R17" s="49"/>
      <c r="S17" s="49"/>
    </row>
    <row r="18" spans="1:19" ht="12.75" thickBot="1">
      <c r="A18" s="49"/>
      <c r="B18" s="49"/>
      <c r="C18" s="59"/>
      <c r="D18" s="59"/>
      <c r="E18" s="79"/>
      <c r="F18" s="79"/>
      <c r="G18" s="78"/>
      <c r="H18" s="78"/>
      <c r="I18" s="49"/>
      <c r="J18" s="49"/>
      <c r="K18" s="49"/>
      <c r="L18" s="49"/>
      <c r="M18" s="49"/>
      <c r="N18" s="49"/>
      <c r="O18" s="49"/>
      <c r="P18" s="49"/>
      <c r="Q18" s="49"/>
      <c r="R18" s="49"/>
      <c r="S18" s="49"/>
    </row>
    <row r="19" spans="1:19" ht="50.25" customHeight="1" thickBot="1">
      <c r="A19" s="49"/>
      <c r="B19" s="441" t="s">
        <v>292</v>
      </c>
      <c r="C19" s="386" t="str">
        <f>IF('0 Úvod'!$M$3="English",Slovnik!D159,Slovnik!C159)</f>
        <v>Údržba a opravy železniční infrastruktury</v>
      </c>
      <c r="D19" s="388" t="str">
        <f>D15</f>
        <v>Cenová úroveň</v>
      </c>
      <c r="E19" s="387" t="str">
        <f>E15</f>
        <v>Nákladní [CZK/ 1000 čisté tkm]</v>
      </c>
      <c r="G19" s="80"/>
      <c r="H19" s="81"/>
      <c r="I19" s="81"/>
      <c r="J19" s="80"/>
      <c r="K19" s="49"/>
      <c r="L19" s="49"/>
      <c r="M19" s="49"/>
      <c r="N19" s="49"/>
      <c r="O19" s="49"/>
      <c r="P19" s="49"/>
      <c r="Q19" s="49"/>
      <c r="R19" s="49"/>
      <c r="S19" s="49"/>
    </row>
    <row r="20" spans="1:19" ht="12.75">
      <c r="A20" s="49"/>
      <c r="B20" s="384"/>
      <c r="C20" s="608" t="str">
        <f>C16</f>
        <v>Základní měrná hodnota v CÚ 2012</v>
      </c>
      <c r="D20" s="606">
        <v>2012</v>
      </c>
      <c r="E20" s="610">
        <v>297.54</v>
      </c>
      <c r="G20" s="80"/>
      <c r="H20" s="82"/>
      <c r="I20" s="80"/>
      <c r="J20" s="80"/>
      <c r="K20" s="49"/>
      <c r="L20" s="49"/>
      <c r="M20" s="49"/>
      <c r="N20" s="49"/>
      <c r="O20" s="49"/>
      <c r="P20" s="49"/>
      <c r="Q20" s="49"/>
      <c r="R20" s="49"/>
      <c r="S20" s="49"/>
    </row>
    <row r="21" spans="1:19" ht="13.5" thickBot="1">
      <c r="A21" s="49"/>
      <c r="B21" s="385"/>
      <c r="C21" s="609" t="str">
        <f>C17</f>
        <v>Měrná hodnota v CÚ 2014</v>
      </c>
      <c r="D21" s="1055">
        <f>'0 Úvod'!G16</f>
        <v>2014</v>
      </c>
      <c r="E21" s="1224"/>
      <c r="G21" s="80"/>
      <c r="H21" s="80"/>
      <c r="I21" s="80"/>
      <c r="J21" s="80"/>
      <c r="K21" s="49"/>
      <c r="L21" s="49"/>
      <c r="M21" s="49"/>
      <c r="N21" s="49"/>
      <c r="O21" s="49"/>
      <c r="P21" s="49"/>
      <c r="Q21" s="49"/>
      <c r="R21" s="49"/>
      <c r="S21" s="49"/>
    </row>
    <row r="22" spans="1:19" ht="12">
      <c r="A22" s="49"/>
      <c r="B22" s="49"/>
      <c r="C22" s="83" t="str">
        <f>IF('0 Úvod'!$M$3="English",Slovnik!D162,Slovnik!C162)</f>
        <v>Zdroj: „Metodika hodnocení efektivnosti investic - železniční infrastruktura" 2012</v>
      </c>
      <c r="D22" s="84"/>
      <c r="E22" s="84"/>
      <c r="F22" s="84"/>
      <c r="G22" s="84"/>
      <c r="H22" s="84"/>
      <c r="I22" s="49"/>
      <c r="J22" s="49"/>
      <c r="K22" s="49"/>
      <c r="L22" s="49"/>
      <c r="M22" s="49"/>
      <c r="N22" s="49"/>
      <c r="O22" s="49"/>
      <c r="P22" s="49"/>
      <c r="Q22" s="49"/>
      <c r="R22" s="49"/>
      <c r="S22" s="49"/>
    </row>
    <row r="23" spans="1:19" ht="12">
      <c r="A23" s="49"/>
      <c r="B23" s="49"/>
      <c r="C23" s="69" t="str">
        <f>IF('0 Úvod'!$M$3="English",Slovnik!D163,Slovnik!C163)</f>
        <v>Pozn. Hodnoty jsou uvedeny v ekonomických cenách, neaplikuje se konverzní faktor</v>
      </c>
      <c r="D23" s="84"/>
      <c r="E23" s="84"/>
      <c r="F23" s="84"/>
      <c r="G23" s="84"/>
      <c r="H23" s="84"/>
      <c r="I23" s="49"/>
      <c r="J23" s="49"/>
      <c r="K23" s="49"/>
      <c r="L23" s="49"/>
      <c r="M23" s="49"/>
      <c r="N23" s="49"/>
      <c r="O23" s="49"/>
      <c r="P23" s="49"/>
      <c r="Q23" s="49"/>
      <c r="R23" s="49"/>
      <c r="S23" s="49"/>
    </row>
    <row r="24" spans="1:19" ht="12.75" thickBot="1">
      <c r="A24" s="49"/>
      <c r="B24" s="49"/>
      <c r="C24" s="47"/>
      <c r="D24" s="49"/>
      <c r="E24" s="49"/>
      <c r="F24" s="49"/>
      <c r="G24" s="49"/>
      <c r="H24" s="49"/>
      <c r="I24" s="49"/>
      <c r="J24" s="49"/>
      <c r="K24" s="49"/>
      <c r="L24" s="49"/>
      <c r="M24" s="49"/>
      <c r="N24" s="49"/>
      <c r="O24" s="49"/>
      <c r="P24" s="49"/>
      <c r="Q24" s="49"/>
      <c r="R24" s="49"/>
      <c r="S24" s="49"/>
    </row>
    <row r="25" spans="1:29" ht="12.75">
      <c r="A25" s="49"/>
      <c r="B25" s="450" t="s">
        <v>266</v>
      </c>
      <c r="C25" s="460" t="str">
        <f>IF('0 Úvod'!$M$3="English",Slovnik!D164,Slovnik!C164)</f>
        <v>Celkové převedené čisté tunokm</v>
      </c>
      <c r="D25" s="481" t="str">
        <f>IF('0 Úvod'!$M$3="English",Slovnik!D172,Slovnik!C172)</f>
        <v>tkm</v>
      </c>
      <c r="E25" s="1351">
        <f>E2</f>
        <v>2014</v>
      </c>
      <c r="F25" s="1351">
        <f aca="true" t="shared" si="10" ref="F25:S25">E25+1</f>
        <v>2015</v>
      </c>
      <c r="G25" s="1351">
        <f t="shared" si="10"/>
        <v>2016</v>
      </c>
      <c r="H25" s="1351">
        <f t="shared" si="10"/>
        <v>2017</v>
      </c>
      <c r="I25" s="1351">
        <f t="shared" si="10"/>
        <v>2018</v>
      </c>
      <c r="J25" s="1351">
        <f t="shared" si="10"/>
        <v>2019</v>
      </c>
      <c r="K25" s="1351">
        <f t="shared" si="10"/>
        <v>2020</v>
      </c>
      <c r="L25" s="1351">
        <f t="shared" si="10"/>
        <v>2021</v>
      </c>
      <c r="M25" s="1351">
        <f t="shared" si="10"/>
        <v>2022</v>
      </c>
      <c r="N25" s="1351">
        <f t="shared" si="10"/>
        <v>2023</v>
      </c>
      <c r="O25" s="1351">
        <f t="shared" si="10"/>
        <v>2024</v>
      </c>
      <c r="P25" s="1351">
        <f t="shared" si="10"/>
        <v>2025</v>
      </c>
      <c r="Q25" s="1351">
        <f t="shared" si="10"/>
        <v>2026</v>
      </c>
      <c r="R25" s="1351">
        <f t="shared" si="10"/>
        <v>2027</v>
      </c>
      <c r="S25" s="1351">
        <f t="shared" si="10"/>
        <v>2028</v>
      </c>
      <c r="T25" s="1351">
        <f aca="true" t="shared" si="11" ref="T25:AC25">S25+1</f>
        <v>2029</v>
      </c>
      <c r="U25" s="1351">
        <f t="shared" si="11"/>
        <v>2030</v>
      </c>
      <c r="V25" s="1351">
        <f t="shared" si="11"/>
        <v>2031</v>
      </c>
      <c r="W25" s="1351">
        <f t="shared" si="11"/>
        <v>2032</v>
      </c>
      <c r="X25" s="1351">
        <f t="shared" si="11"/>
        <v>2033</v>
      </c>
      <c r="Y25" s="1351">
        <f t="shared" si="11"/>
        <v>2034</v>
      </c>
      <c r="Z25" s="1351">
        <f t="shared" si="11"/>
        <v>2035</v>
      </c>
      <c r="AA25" s="1351">
        <f t="shared" si="11"/>
        <v>2036</v>
      </c>
      <c r="AB25" s="1351">
        <f t="shared" si="11"/>
        <v>2037</v>
      </c>
      <c r="AC25" s="1353">
        <f t="shared" si="11"/>
        <v>2038</v>
      </c>
    </row>
    <row r="26" spans="1:29" ht="13.5" thickBot="1">
      <c r="A26" s="49"/>
      <c r="B26" s="453" t="s">
        <v>17</v>
      </c>
      <c r="C26" s="454" t="str">
        <f>IF('0 Úvod'!$M$3="English",Slovnik!D165,Slovnik!C165)</f>
        <v>Scénář s projektem</v>
      </c>
      <c r="D26" s="455" t="str">
        <f>D3</f>
        <v>Celkem</v>
      </c>
      <c r="E26" s="1352"/>
      <c r="F26" s="1352"/>
      <c r="G26" s="1352"/>
      <c r="H26" s="1352"/>
      <c r="I26" s="1352"/>
      <c r="J26" s="1352"/>
      <c r="K26" s="1352"/>
      <c r="L26" s="1352"/>
      <c r="M26" s="1352"/>
      <c r="N26" s="1352"/>
      <c r="O26" s="1352"/>
      <c r="P26" s="1352"/>
      <c r="Q26" s="1352"/>
      <c r="R26" s="1352"/>
      <c r="S26" s="1352"/>
      <c r="T26" s="1352"/>
      <c r="U26" s="1352"/>
      <c r="V26" s="1352"/>
      <c r="W26" s="1352"/>
      <c r="X26" s="1352"/>
      <c r="Y26" s="1352"/>
      <c r="Z26" s="1352"/>
      <c r="AA26" s="1352"/>
      <c r="AB26" s="1352"/>
      <c r="AC26" s="1354"/>
    </row>
    <row r="27" spans="1:29" ht="12">
      <c r="A27" s="49"/>
      <c r="B27" s="740"/>
      <c r="C27" s="741" t="str">
        <f>IF('0 Úvod'!$M$3="English",Slovnik!D166,Slovnik!C166)</f>
        <v>Silniční doprava</v>
      </c>
      <c r="D27" s="418">
        <f>SUM(E27:AC27,E33:AC33)</f>
        <v>0</v>
      </c>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3"/>
    </row>
    <row r="28" spans="1:29" ht="12">
      <c r="A28" s="49"/>
      <c r="B28" s="742"/>
      <c r="C28" s="743" t="str">
        <f>IF('0 Úvod'!$M$3="English",Slovnik!D167,Slovnik!C167)</f>
        <v>Železniční doprava</v>
      </c>
      <c r="D28" s="419">
        <f>SUM(E28:AC28,E34:AC34)</f>
        <v>0</v>
      </c>
      <c r="E28" s="1199"/>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0"/>
      <c r="AB28" s="1200"/>
      <c r="AC28" s="1201"/>
    </row>
    <row r="29" spans="1:29" ht="12.75" thickBot="1">
      <c r="A29" s="49"/>
      <c r="B29" s="744"/>
      <c r="C29" s="745" t="str">
        <f>IF('0 Úvod'!$M$3="English",Slovnik!D168,Slovnik!C168)</f>
        <v>Celkové čisté tunokm</v>
      </c>
      <c r="D29" s="420">
        <f>SUM(E29:AC29,E35:AC35)</f>
        <v>0</v>
      </c>
      <c r="E29" s="393">
        <f aca="true" t="shared" si="12" ref="E29:S29">SUM(E27:E28)</f>
        <v>0</v>
      </c>
      <c r="F29" s="436">
        <f t="shared" si="12"/>
        <v>0</v>
      </c>
      <c r="G29" s="436">
        <f t="shared" si="12"/>
        <v>0</v>
      </c>
      <c r="H29" s="436">
        <f t="shared" si="12"/>
        <v>0</v>
      </c>
      <c r="I29" s="436">
        <f t="shared" si="12"/>
        <v>0</v>
      </c>
      <c r="J29" s="436">
        <f t="shared" si="12"/>
        <v>0</v>
      </c>
      <c r="K29" s="436">
        <f t="shared" si="12"/>
        <v>0</v>
      </c>
      <c r="L29" s="436">
        <f t="shared" si="12"/>
        <v>0</v>
      </c>
      <c r="M29" s="436">
        <f t="shared" si="12"/>
        <v>0</v>
      </c>
      <c r="N29" s="436">
        <f t="shared" si="12"/>
        <v>0</v>
      </c>
      <c r="O29" s="436">
        <f t="shared" si="12"/>
        <v>0</v>
      </c>
      <c r="P29" s="436">
        <f t="shared" si="12"/>
        <v>0</v>
      </c>
      <c r="Q29" s="436">
        <f t="shared" si="12"/>
        <v>0</v>
      </c>
      <c r="R29" s="436">
        <f t="shared" si="12"/>
        <v>0</v>
      </c>
      <c r="S29" s="436">
        <f t="shared" si="12"/>
        <v>0</v>
      </c>
      <c r="T29" s="436">
        <f aca="true" t="shared" si="13" ref="T29:AC29">SUM(T27:T28)</f>
        <v>0</v>
      </c>
      <c r="U29" s="436">
        <f t="shared" si="13"/>
        <v>0</v>
      </c>
      <c r="V29" s="436">
        <f t="shared" si="13"/>
        <v>0</v>
      </c>
      <c r="W29" s="436">
        <f t="shared" si="13"/>
        <v>0</v>
      </c>
      <c r="X29" s="436">
        <f t="shared" si="13"/>
        <v>0</v>
      </c>
      <c r="Y29" s="436">
        <f t="shared" si="13"/>
        <v>0</v>
      </c>
      <c r="Z29" s="436">
        <f t="shared" si="13"/>
        <v>0</v>
      </c>
      <c r="AA29" s="436">
        <f t="shared" si="13"/>
        <v>0</v>
      </c>
      <c r="AB29" s="436">
        <f t="shared" si="13"/>
        <v>0</v>
      </c>
      <c r="AC29" s="437">
        <f t="shared" si="13"/>
        <v>0</v>
      </c>
    </row>
    <row r="30" spans="1:29" ht="12" thickBot="1">
      <c r="A30" s="49"/>
      <c r="B30" s="85"/>
      <c r="C30" s="45"/>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row>
    <row r="31" spans="1:29" ht="12.75">
      <c r="A31" s="49"/>
      <c r="B31" s="450" t="str">
        <f>B25</f>
        <v>5.3.</v>
      </c>
      <c r="C31" s="456" t="str">
        <f>C25</f>
        <v>Celkové převedené čisté tunokm</v>
      </c>
      <c r="D31" s="457"/>
      <c r="E31" s="1365">
        <f>AC25+1</f>
        <v>2039</v>
      </c>
      <c r="F31" s="1351">
        <f aca="true" t="shared" si="14" ref="F31:S31">E31+1</f>
        <v>2040</v>
      </c>
      <c r="G31" s="1351">
        <f t="shared" si="14"/>
        <v>2041</v>
      </c>
      <c r="H31" s="1351">
        <f t="shared" si="14"/>
        <v>2042</v>
      </c>
      <c r="I31" s="1351">
        <f t="shared" si="14"/>
        <v>2043</v>
      </c>
      <c r="J31" s="1351">
        <f t="shared" si="14"/>
        <v>2044</v>
      </c>
      <c r="K31" s="1351">
        <f t="shared" si="14"/>
        <v>2045</v>
      </c>
      <c r="L31" s="1351">
        <f t="shared" si="14"/>
        <v>2046</v>
      </c>
      <c r="M31" s="1351">
        <f t="shared" si="14"/>
        <v>2047</v>
      </c>
      <c r="N31" s="1351">
        <f t="shared" si="14"/>
        <v>2048</v>
      </c>
      <c r="O31" s="1351">
        <f t="shared" si="14"/>
        <v>2049</v>
      </c>
      <c r="P31" s="1351">
        <f t="shared" si="14"/>
        <v>2050</v>
      </c>
      <c r="Q31" s="1351">
        <f t="shared" si="14"/>
        <v>2051</v>
      </c>
      <c r="R31" s="1351">
        <f t="shared" si="14"/>
        <v>2052</v>
      </c>
      <c r="S31" s="1351">
        <f t="shared" si="14"/>
        <v>2053</v>
      </c>
      <c r="T31" s="1351">
        <f aca="true" t="shared" si="15" ref="T31:AC31">S31+1</f>
        <v>2054</v>
      </c>
      <c r="U31" s="1351">
        <f t="shared" si="15"/>
        <v>2055</v>
      </c>
      <c r="V31" s="1351">
        <f t="shared" si="15"/>
        <v>2056</v>
      </c>
      <c r="W31" s="1351">
        <f t="shared" si="15"/>
        <v>2057</v>
      </c>
      <c r="X31" s="1351">
        <f t="shared" si="15"/>
        <v>2058</v>
      </c>
      <c r="Y31" s="1351">
        <f t="shared" si="15"/>
        <v>2059</v>
      </c>
      <c r="Z31" s="1351">
        <f t="shared" si="15"/>
        <v>2060</v>
      </c>
      <c r="AA31" s="1351">
        <f t="shared" si="15"/>
        <v>2061</v>
      </c>
      <c r="AB31" s="1351">
        <f t="shared" si="15"/>
        <v>2062</v>
      </c>
      <c r="AC31" s="1353">
        <f t="shared" si="15"/>
        <v>2063</v>
      </c>
    </row>
    <row r="32" spans="1:29" ht="13.5" thickBot="1">
      <c r="A32" s="49"/>
      <c r="B32" s="453" t="s">
        <v>19</v>
      </c>
      <c r="C32" s="458" t="str">
        <f>C26</f>
        <v>Scénář s projektem</v>
      </c>
      <c r="D32" s="459"/>
      <c r="E32" s="1366"/>
      <c r="F32" s="1352"/>
      <c r="G32" s="1352"/>
      <c r="H32" s="1352"/>
      <c r="I32" s="1352"/>
      <c r="J32" s="1352"/>
      <c r="K32" s="1352"/>
      <c r="L32" s="1352"/>
      <c r="M32" s="1352"/>
      <c r="N32" s="1352"/>
      <c r="O32" s="1352"/>
      <c r="P32" s="1352"/>
      <c r="Q32" s="1352"/>
      <c r="R32" s="1352"/>
      <c r="S32" s="1352"/>
      <c r="T32" s="1352"/>
      <c r="U32" s="1352"/>
      <c r="V32" s="1352"/>
      <c r="W32" s="1352"/>
      <c r="X32" s="1352"/>
      <c r="Y32" s="1352"/>
      <c r="Z32" s="1352"/>
      <c r="AA32" s="1352"/>
      <c r="AB32" s="1352"/>
      <c r="AC32" s="1354"/>
    </row>
    <row r="33" spans="1:29" ht="12">
      <c r="A33" s="49"/>
      <c r="B33" s="740"/>
      <c r="C33" s="746" t="str">
        <f>C27</f>
        <v>Silniční doprava</v>
      </c>
      <c r="D33" s="747"/>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3"/>
    </row>
    <row r="34" spans="1:29" ht="12">
      <c r="A34" s="49"/>
      <c r="B34" s="748"/>
      <c r="C34" s="749" t="str">
        <f>C28</f>
        <v>Železniční doprava</v>
      </c>
      <c r="D34" s="750"/>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530"/>
    </row>
    <row r="35" spans="1:29" ht="12.75" thickBot="1">
      <c r="A35" s="49"/>
      <c r="B35" s="744"/>
      <c r="C35" s="751" t="str">
        <f>C29</f>
        <v>Celkové čisté tunokm</v>
      </c>
      <c r="D35" s="752"/>
      <c r="E35" s="428">
        <f aca="true" t="shared" si="16" ref="E35:S35">SUM(E33:E34)</f>
        <v>0</v>
      </c>
      <c r="F35" s="428">
        <f t="shared" si="16"/>
        <v>0</v>
      </c>
      <c r="G35" s="428">
        <f t="shared" si="16"/>
        <v>0</v>
      </c>
      <c r="H35" s="428">
        <f t="shared" si="16"/>
        <v>0</v>
      </c>
      <c r="I35" s="428">
        <f t="shared" si="16"/>
        <v>0</v>
      </c>
      <c r="J35" s="428">
        <f t="shared" si="16"/>
        <v>0</v>
      </c>
      <c r="K35" s="428">
        <f t="shared" si="16"/>
        <v>0</v>
      </c>
      <c r="L35" s="428">
        <f t="shared" si="16"/>
        <v>0</v>
      </c>
      <c r="M35" s="428">
        <f t="shared" si="16"/>
        <v>0</v>
      </c>
      <c r="N35" s="428">
        <f t="shared" si="16"/>
        <v>0</v>
      </c>
      <c r="O35" s="428">
        <f t="shared" si="16"/>
        <v>0</v>
      </c>
      <c r="P35" s="428">
        <f t="shared" si="16"/>
        <v>0</v>
      </c>
      <c r="Q35" s="428">
        <f t="shared" si="16"/>
        <v>0</v>
      </c>
      <c r="R35" s="428">
        <f t="shared" si="16"/>
        <v>0</v>
      </c>
      <c r="S35" s="428">
        <f t="shared" si="16"/>
        <v>0</v>
      </c>
      <c r="T35" s="428">
        <f aca="true" t="shared" si="17" ref="T35:AC35">SUM(T33:T34)</f>
        <v>0</v>
      </c>
      <c r="U35" s="428">
        <f t="shared" si="17"/>
        <v>0</v>
      </c>
      <c r="V35" s="428">
        <f t="shared" si="17"/>
        <v>0</v>
      </c>
      <c r="W35" s="428">
        <f t="shared" si="17"/>
        <v>0</v>
      </c>
      <c r="X35" s="428">
        <f t="shared" si="17"/>
        <v>0</v>
      </c>
      <c r="Y35" s="428">
        <f t="shared" si="17"/>
        <v>0</v>
      </c>
      <c r="Z35" s="428">
        <f t="shared" si="17"/>
        <v>0</v>
      </c>
      <c r="AA35" s="428">
        <f t="shared" si="17"/>
        <v>0</v>
      </c>
      <c r="AB35" s="428">
        <f t="shared" si="17"/>
        <v>0</v>
      </c>
      <c r="AC35" s="429">
        <f t="shared" si="17"/>
        <v>0</v>
      </c>
    </row>
    <row r="36" spans="1:29" ht="11.2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row>
    <row r="37" spans="1:29" ht="12" thickBo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1:29" ht="12.75">
      <c r="A38" s="49"/>
      <c r="B38" s="450" t="s">
        <v>32</v>
      </c>
      <c r="C38" s="460" t="str">
        <f>C25</f>
        <v>Celkové převedené čisté tunokm</v>
      </c>
      <c r="D38" s="481" t="str">
        <f>D25</f>
        <v>tkm</v>
      </c>
      <c r="E38" s="1351">
        <f>E25</f>
        <v>2014</v>
      </c>
      <c r="F38" s="1351">
        <f aca="true" t="shared" si="18" ref="F38:S38">E38+1</f>
        <v>2015</v>
      </c>
      <c r="G38" s="1351">
        <f t="shared" si="18"/>
        <v>2016</v>
      </c>
      <c r="H38" s="1351">
        <f t="shared" si="18"/>
        <v>2017</v>
      </c>
      <c r="I38" s="1351">
        <f t="shared" si="18"/>
        <v>2018</v>
      </c>
      <c r="J38" s="1351">
        <f t="shared" si="18"/>
        <v>2019</v>
      </c>
      <c r="K38" s="1351">
        <f t="shared" si="18"/>
        <v>2020</v>
      </c>
      <c r="L38" s="1351">
        <f t="shared" si="18"/>
        <v>2021</v>
      </c>
      <c r="M38" s="1351">
        <f t="shared" si="18"/>
        <v>2022</v>
      </c>
      <c r="N38" s="1351">
        <f t="shared" si="18"/>
        <v>2023</v>
      </c>
      <c r="O38" s="1351">
        <f t="shared" si="18"/>
        <v>2024</v>
      </c>
      <c r="P38" s="1351">
        <f t="shared" si="18"/>
        <v>2025</v>
      </c>
      <c r="Q38" s="1351">
        <f t="shared" si="18"/>
        <v>2026</v>
      </c>
      <c r="R38" s="1351">
        <f t="shared" si="18"/>
        <v>2027</v>
      </c>
      <c r="S38" s="1351">
        <f t="shared" si="18"/>
        <v>2028</v>
      </c>
      <c r="T38" s="1351">
        <f aca="true" t="shared" si="19" ref="T38:AC38">S38+1</f>
        <v>2029</v>
      </c>
      <c r="U38" s="1351">
        <f t="shared" si="19"/>
        <v>2030</v>
      </c>
      <c r="V38" s="1351">
        <f t="shared" si="19"/>
        <v>2031</v>
      </c>
      <c r="W38" s="1351">
        <f t="shared" si="19"/>
        <v>2032</v>
      </c>
      <c r="X38" s="1351">
        <f t="shared" si="19"/>
        <v>2033</v>
      </c>
      <c r="Y38" s="1351">
        <f t="shared" si="19"/>
        <v>2034</v>
      </c>
      <c r="Z38" s="1351">
        <f t="shared" si="19"/>
        <v>2035</v>
      </c>
      <c r="AA38" s="1351">
        <f t="shared" si="19"/>
        <v>2036</v>
      </c>
      <c r="AB38" s="1351">
        <f t="shared" si="19"/>
        <v>2037</v>
      </c>
      <c r="AC38" s="1353">
        <f t="shared" si="19"/>
        <v>2038</v>
      </c>
    </row>
    <row r="39" spans="1:29" ht="13.5" thickBot="1">
      <c r="A39" s="49"/>
      <c r="B39" s="453" t="s">
        <v>17</v>
      </c>
      <c r="C39" s="454" t="str">
        <f>IF('0 Úvod'!$M$3="English",Slovnik!D169,Slovnik!C169)</f>
        <v>Scénář bez projektu</v>
      </c>
      <c r="D39" s="455" t="str">
        <f>D3</f>
        <v>Celkem</v>
      </c>
      <c r="E39" s="1352"/>
      <c r="F39" s="1352"/>
      <c r="G39" s="1352"/>
      <c r="H39" s="1352"/>
      <c r="I39" s="1352"/>
      <c r="J39" s="1352"/>
      <c r="K39" s="1352"/>
      <c r="L39" s="1352"/>
      <c r="M39" s="1352"/>
      <c r="N39" s="1352"/>
      <c r="O39" s="1352"/>
      <c r="P39" s="1352"/>
      <c r="Q39" s="1352"/>
      <c r="R39" s="1352"/>
      <c r="S39" s="1352"/>
      <c r="T39" s="1352"/>
      <c r="U39" s="1352"/>
      <c r="V39" s="1352"/>
      <c r="W39" s="1352"/>
      <c r="X39" s="1352"/>
      <c r="Y39" s="1352"/>
      <c r="Z39" s="1352"/>
      <c r="AA39" s="1352"/>
      <c r="AB39" s="1352"/>
      <c r="AC39" s="1354"/>
    </row>
    <row r="40" spans="1:29" ht="12">
      <c r="A40" s="49"/>
      <c r="B40" s="740"/>
      <c r="C40" s="741" t="str">
        <f>C27</f>
        <v>Silniční doprava</v>
      </c>
      <c r="D40" s="418">
        <f>SUM(E40:AC40,E46:AC46)</f>
        <v>0</v>
      </c>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row>
    <row r="41" spans="1:29" ht="12">
      <c r="A41" s="49"/>
      <c r="B41" s="742"/>
      <c r="C41" s="743" t="str">
        <f>C28</f>
        <v>Železniční doprava</v>
      </c>
      <c r="D41" s="419">
        <f>SUM(E41:AC41,E47:AC47)</f>
        <v>0</v>
      </c>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5"/>
    </row>
    <row r="42" spans="1:29" ht="12.75" thickBot="1">
      <c r="A42" s="49"/>
      <c r="B42" s="744"/>
      <c r="C42" s="745" t="str">
        <f>C29</f>
        <v>Celkové čisté tunokm</v>
      </c>
      <c r="D42" s="420">
        <f>SUM(E42:AC42,E48:AC48)</f>
        <v>0</v>
      </c>
      <c r="E42" s="393">
        <f aca="true" t="shared" si="20" ref="E42:S42">SUM(E40:E41)</f>
        <v>0</v>
      </c>
      <c r="F42" s="436">
        <f t="shared" si="20"/>
        <v>0</v>
      </c>
      <c r="G42" s="436">
        <f t="shared" si="20"/>
        <v>0</v>
      </c>
      <c r="H42" s="436">
        <f t="shared" si="20"/>
        <v>0</v>
      </c>
      <c r="I42" s="436">
        <f t="shared" si="20"/>
        <v>0</v>
      </c>
      <c r="J42" s="436">
        <f t="shared" si="20"/>
        <v>0</v>
      </c>
      <c r="K42" s="436">
        <f t="shared" si="20"/>
        <v>0</v>
      </c>
      <c r="L42" s="436">
        <f t="shared" si="20"/>
        <v>0</v>
      </c>
      <c r="M42" s="436">
        <f t="shared" si="20"/>
        <v>0</v>
      </c>
      <c r="N42" s="436">
        <f t="shared" si="20"/>
        <v>0</v>
      </c>
      <c r="O42" s="436">
        <f t="shared" si="20"/>
        <v>0</v>
      </c>
      <c r="P42" s="436">
        <f t="shared" si="20"/>
        <v>0</v>
      </c>
      <c r="Q42" s="436">
        <f t="shared" si="20"/>
        <v>0</v>
      </c>
      <c r="R42" s="436">
        <f t="shared" si="20"/>
        <v>0</v>
      </c>
      <c r="S42" s="436">
        <f t="shared" si="20"/>
        <v>0</v>
      </c>
      <c r="T42" s="436">
        <f aca="true" t="shared" si="21" ref="T42:AC42">SUM(T40:T41)</f>
        <v>0</v>
      </c>
      <c r="U42" s="436">
        <f t="shared" si="21"/>
        <v>0</v>
      </c>
      <c r="V42" s="436">
        <f t="shared" si="21"/>
        <v>0</v>
      </c>
      <c r="W42" s="436">
        <f t="shared" si="21"/>
        <v>0</v>
      </c>
      <c r="X42" s="436">
        <f t="shared" si="21"/>
        <v>0</v>
      </c>
      <c r="Y42" s="436">
        <f t="shared" si="21"/>
        <v>0</v>
      </c>
      <c r="Z42" s="436">
        <f t="shared" si="21"/>
        <v>0</v>
      </c>
      <c r="AA42" s="436">
        <f t="shared" si="21"/>
        <v>0</v>
      </c>
      <c r="AB42" s="436">
        <f t="shared" si="21"/>
        <v>0</v>
      </c>
      <c r="AC42" s="437">
        <f t="shared" si="21"/>
        <v>0</v>
      </c>
    </row>
    <row r="43" spans="1:29" ht="12" thickBot="1">
      <c r="A43" s="49"/>
      <c r="B43" s="85"/>
      <c r="C43" s="45"/>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row>
    <row r="44" spans="1:29" ht="12.75">
      <c r="A44" s="49"/>
      <c r="B44" s="450" t="str">
        <f>B38</f>
        <v>5.4.</v>
      </c>
      <c r="C44" s="468" t="str">
        <f>C38</f>
        <v>Celkové převedené čisté tunokm</v>
      </c>
      <c r="D44" s="457"/>
      <c r="E44" s="1351">
        <f>AC38+1</f>
        <v>2039</v>
      </c>
      <c r="F44" s="1351">
        <f aca="true" t="shared" si="22" ref="F44:S44">E44+1</f>
        <v>2040</v>
      </c>
      <c r="G44" s="1351">
        <f t="shared" si="22"/>
        <v>2041</v>
      </c>
      <c r="H44" s="1351">
        <f t="shared" si="22"/>
        <v>2042</v>
      </c>
      <c r="I44" s="1351">
        <f t="shared" si="22"/>
        <v>2043</v>
      </c>
      <c r="J44" s="1351">
        <f t="shared" si="22"/>
        <v>2044</v>
      </c>
      <c r="K44" s="1351">
        <f t="shared" si="22"/>
        <v>2045</v>
      </c>
      <c r="L44" s="1351">
        <f t="shared" si="22"/>
        <v>2046</v>
      </c>
      <c r="M44" s="1351">
        <f t="shared" si="22"/>
        <v>2047</v>
      </c>
      <c r="N44" s="1351">
        <f t="shared" si="22"/>
        <v>2048</v>
      </c>
      <c r="O44" s="1351">
        <f t="shared" si="22"/>
        <v>2049</v>
      </c>
      <c r="P44" s="1351">
        <f t="shared" si="22"/>
        <v>2050</v>
      </c>
      <c r="Q44" s="1351">
        <f t="shared" si="22"/>
        <v>2051</v>
      </c>
      <c r="R44" s="1351">
        <f t="shared" si="22"/>
        <v>2052</v>
      </c>
      <c r="S44" s="1351">
        <f t="shared" si="22"/>
        <v>2053</v>
      </c>
      <c r="T44" s="1351">
        <f aca="true" t="shared" si="23" ref="T44:AC44">S44+1</f>
        <v>2054</v>
      </c>
      <c r="U44" s="1351">
        <f t="shared" si="23"/>
        <v>2055</v>
      </c>
      <c r="V44" s="1351">
        <f t="shared" si="23"/>
        <v>2056</v>
      </c>
      <c r="W44" s="1351">
        <f t="shared" si="23"/>
        <v>2057</v>
      </c>
      <c r="X44" s="1351">
        <f t="shared" si="23"/>
        <v>2058</v>
      </c>
      <c r="Y44" s="1351">
        <f t="shared" si="23"/>
        <v>2059</v>
      </c>
      <c r="Z44" s="1351">
        <f t="shared" si="23"/>
        <v>2060</v>
      </c>
      <c r="AA44" s="1351">
        <f t="shared" si="23"/>
        <v>2061</v>
      </c>
      <c r="AB44" s="1351">
        <f t="shared" si="23"/>
        <v>2062</v>
      </c>
      <c r="AC44" s="1353">
        <f t="shared" si="23"/>
        <v>2063</v>
      </c>
    </row>
    <row r="45" spans="1:29" ht="13.5" thickBot="1">
      <c r="A45" s="49"/>
      <c r="B45" s="453" t="s">
        <v>19</v>
      </c>
      <c r="C45" s="458" t="str">
        <f>C39</f>
        <v>Scénář bez projektu</v>
      </c>
      <c r="D45" s="459"/>
      <c r="E45" s="1352"/>
      <c r="F45" s="1352"/>
      <c r="G45" s="1352"/>
      <c r="H45" s="1352"/>
      <c r="I45" s="1352"/>
      <c r="J45" s="1352"/>
      <c r="K45" s="1352"/>
      <c r="L45" s="1352"/>
      <c r="M45" s="1352"/>
      <c r="N45" s="1352"/>
      <c r="O45" s="1352"/>
      <c r="P45" s="1352"/>
      <c r="Q45" s="1352"/>
      <c r="R45" s="1352"/>
      <c r="S45" s="1352"/>
      <c r="T45" s="1352"/>
      <c r="U45" s="1352"/>
      <c r="V45" s="1352"/>
      <c r="W45" s="1352"/>
      <c r="X45" s="1352"/>
      <c r="Y45" s="1352"/>
      <c r="Z45" s="1352"/>
      <c r="AA45" s="1352"/>
      <c r="AB45" s="1352"/>
      <c r="AC45" s="1354"/>
    </row>
    <row r="46" spans="1:29" ht="12">
      <c r="A46" s="49"/>
      <c r="B46" s="740"/>
      <c r="C46" s="746" t="str">
        <f>C40</f>
        <v>Silniční doprava</v>
      </c>
      <c r="D46" s="747"/>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7"/>
    </row>
    <row r="47" spans="1:29" ht="12">
      <c r="A47" s="49"/>
      <c r="B47" s="748"/>
      <c r="C47" s="749" t="str">
        <f>C41</f>
        <v>Železniční doprava</v>
      </c>
      <c r="D47" s="750"/>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9"/>
    </row>
    <row r="48" spans="1:29" ht="12.75" thickBot="1">
      <c r="A48" s="49"/>
      <c r="B48" s="744"/>
      <c r="C48" s="751" t="str">
        <f>C42</f>
        <v>Celkové čisté tunokm</v>
      </c>
      <c r="D48" s="752"/>
      <c r="E48" s="428">
        <f aca="true" t="shared" si="24" ref="E48:S48">SUM(E46:E47)</f>
        <v>0</v>
      </c>
      <c r="F48" s="428">
        <f t="shared" si="24"/>
        <v>0</v>
      </c>
      <c r="G48" s="428">
        <f t="shared" si="24"/>
        <v>0</v>
      </c>
      <c r="H48" s="428">
        <f t="shared" si="24"/>
        <v>0</v>
      </c>
      <c r="I48" s="428">
        <f t="shared" si="24"/>
        <v>0</v>
      </c>
      <c r="J48" s="428">
        <f t="shared" si="24"/>
        <v>0</v>
      </c>
      <c r="K48" s="428">
        <f t="shared" si="24"/>
        <v>0</v>
      </c>
      <c r="L48" s="428">
        <f t="shared" si="24"/>
        <v>0</v>
      </c>
      <c r="M48" s="428">
        <f t="shared" si="24"/>
        <v>0</v>
      </c>
      <c r="N48" s="428">
        <f t="shared" si="24"/>
        <v>0</v>
      </c>
      <c r="O48" s="428">
        <f t="shared" si="24"/>
        <v>0</v>
      </c>
      <c r="P48" s="428">
        <f t="shared" si="24"/>
        <v>0</v>
      </c>
      <c r="Q48" s="428">
        <f t="shared" si="24"/>
        <v>0</v>
      </c>
      <c r="R48" s="428">
        <f t="shared" si="24"/>
        <v>0</v>
      </c>
      <c r="S48" s="428">
        <f t="shared" si="24"/>
        <v>0</v>
      </c>
      <c r="T48" s="428">
        <f aca="true" t="shared" si="25" ref="T48:AC48">SUM(T46:T47)</f>
        <v>0</v>
      </c>
      <c r="U48" s="428">
        <f t="shared" si="25"/>
        <v>0</v>
      </c>
      <c r="V48" s="428">
        <f t="shared" si="25"/>
        <v>0</v>
      </c>
      <c r="W48" s="428">
        <f t="shared" si="25"/>
        <v>0</v>
      </c>
      <c r="X48" s="428">
        <f t="shared" si="25"/>
        <v>0</v>
      </c>
      <c r="Y48" s="428">
        <f t="shared" si="25"/>
        <v>0</v>
      </c>
      <c r="Z48" s="428">
        <f t="shared" si="25"/>
        <v>0</v>
      </c>
      <c r="AA48" s="428">
        <f t="shared" si="25"/>
        <v>0</v>
      </c>
      <c r="AB48" s="428">
        <f t="shared" si="25"/>
        <v>0</v>
      </c>
      <c r="AC48" s="429">
        <f t="shared" si="25"/>
        <v>0</v>
      </c>
    </row>
    <row r="49" spans="1:19" ht="11.25">
      <c r="A49" s="49"/>
      <c r="B49" s="49"/>
      <c r="C49" s="49"/>
      <c r="D49" s="49"/>
      <c r="E49" s="49"/>
      <c r="F49" s="49"/>
      <c r="G49" s="49"/>
      <c r="H49" s="49"/>
      <c r="I49" s="49"/>
      <c r="J49" s="49"/>
      <c r="K49" s="49"/>
      <c r="L49" s="49"/>
      <c r="M49" s="49"/>
      <c r="N49" s="49"/>
      <c r="O49" s="49"/>
      <c r="P49" s="49"/>
      <c r="Q49" s="49"/>
      <c r="R49" s="49"/>
      <c r="S49" s="49"/>
    </row>
    <row r="50" spans="1:19" ht="12" thickBot="1">
      <c r="A50" s="49"/>
      <c r="B50" s="49"/>
      <c r="C50" s="49"/>
      <c r="D50" s="49"/>
      <c r="E50" s="49"/>
      <c r="F50" s="49"/>
      <c r="G50" s="49"/>
      <c r="H50" s="49"/>
      <c r="I50" s="49"/>
      <c r="J50" s="49"/>
      <c r="K50" s="49"/>
      <c r="L50" s="49"/>
      <c r="M50" s="49"/>
      <c r="N50" s="49"/>
      <c r="O50" s="49"/>
      <c r="P50" s="49"/>
      <c r="Q50" s="49"/>
      <c r="R50" s="49"/>
      <c r="S50" s="49"/>
    </row>
    <row r="51" spans="1:29" ht="12.75">
      <c r="A51" s="49"/>
      <c r="B51" s="450" t="s">
        <v>102</v>
      </c>
      <c r="C51" s="451" t="str">
        <f>C25</f>
        <v>Celkové převedené čisté tunokm</v>
      </c>
      <c r="D51" s="481" t="str">
        <f>D25</f>
        <v>tkm</v>
      </c>
      <c r="E51" s="1351">
        <f>E38</f>
        <v>2014</v>
      </c>
      <c r="F51" s="1351">
        <f>E51+1</f>
        <v>2015</v>
      </c>
      <c r="G51" s="1351">
        <f>F51+1</f>
        <v>2016</v>
      </c>
      <c r="H51" s="1351">
        <f>G51+1</f>
        <v>2017</v>
      </c>
      <c r="I51" s="1351">
        <f>H51+1</f>
        <v>2018</v>
      </c>
      <c r="J51" s="1351">
        <f>I51+1</f>
        <v>2019</v>
      </c>
      <c r="K51" s="1351">
        <f>J51+1</f>
        <v>2020</v>
      </c>
      <c r="L51" s="1351">
        <f>K51+1</f>
        <v>2021</v>
      </c>
      <c r="M51" s="1351">
        <f>L51+1</f>
        <v>2022</v>
      </c>
      <c r="N51" s="1351">
        <f>M51+1</f>
        <v>2023</v>
      </c>
      <c r="O51" s="1351">
        <f>N51+1</f>
        <v>2024</v>
      </c>
      <c r="P51" s="1351">
        <f>O51+1</f>
        <v>2025</v>
      </c>
      <c r="Q51" s="1351">
        <f>P51+1</f>
        <v>2026</v>
      </c>
      <c r="R51" s="1351">
        <f>Q51+1</f>
        <v>2027</v>
      </c>
      <c r="S51" s="1351">
        <f>R51+1</f>
        <v>2028</v>
      </c>
      <c r="T51" s="1351">
        <f>S51+1</f>
        <v>2029</v>
      </c>
      <c r="U51" s="1351">
        <f>T51+1</f>
        <v>2030</v>
      </c>
      <c r="V51" s="1351">
        <f>U51+1</f>
        <v>2031</v>
      </c>
      <c r="W51" s="1351">
        <f>V51+1</f>
        <v>2032</v>
      </c>
      <c r="X51" s="1351">
        <f>W51+1</f>
        <v>2033</v>
      </c>
      <c r="Y51" s="1351">
        <f>X51+1</f>
        <v>2034</v>
      </c>
      <c r="Z51" s="1351">
        <f>Y51+1</f>
        <v>2035</v>
      </c>
      <c r="AA51" s="1351">
        <f>Z51+1</f>
        <v>2036</v>
      </c>
      <c r="AB51" s="1351">
        <f>AA51+1</f>
        <v>2037</v>
      </c>
      <c r="AC51" s="1353">
        <f>AB51+1</f>
        <v>2038</v>
      </c>
    </row>
    <row r="52" spans="1:29" ht="13.5" thickBot="1">
      <c r="A52" s="49"/>
      <c r="B52" s="453" t="s">
        <v>17</v>
      </c>
      <c r="C52" s="454" t="str">
        <f>IF('0 Úvod'!$M$3="English",Slovnik!D170,Slovnik!C170)</f>
        <v>Přírůstek / úbytek</v>
      </c>
      <c r="D52" s="455" t="str">
        <f>D26</f>
        <v>Celkem</v>
      </c>
      <c r="E52" s="1352"/>
      <c r="F52" s="1352"/>
      <c r="G52" s="1352"/>
      <c r="H52" s="1352"/>
      <c r="I52" s="1352"/>
      <c r="J52" s="1352"/>
      <c r="K52" s="1352"/>
      <c r="L52" s="1352"/>
      <c r="M52" s="1352"/>
      <c r="N52" s="1352"/>
      <c r="O52" s="1352"/>
      <c r="P52" s="1352"/>
      <c r="Q52" s="1352"/>
      <c r="R52" s="1352"/>
      <c r="S52" s="1352"/>
      <c r="T52" s="1352"/>
      <c r="U52" s="1352"/>
      <c r="V52" s="1352"/>
      <c r="W52" s="1352"/>
      <c r="X52" s="1352"/>
      <c r="Y52" s="1352"/>
      <c r="Z52" s="1352"/>
      <c r="AA52" s="1352"/>
      <c r="AB52" s="1352"/>
      <c r="AC52" s="1354"/>
    </row>
    <row r="53" spans="1:29" ht="12">
      <c r="A53" s="49"/>
      <c r="B53" s="740"/>
      <c r="C53" s="741" t="str">
        <f>C40</f>
        <v>Silniční doprava</v>
      </c>
      <c r="D53" s="418">
        <f>SUM(E53:AC53,E59:AC59)</f>
        <v>0</v>
      </c>
      <c r="E53" s="94">
        <f>E40-E27</f>
        <v>0</v>
      </c>
      <c r="F53" s="94">
        <f>F40-F27</f>
        <v>0</v>
      </c>
      <c r="G53" s="94">
        <f aca="true" t="shared" si="26" ref="G53:AC54">G40-G27</f>
        <v>0</v>
      </c>
      <c r="H53" s="94">
        <f t="shared" si="26"/>
        <v>0</v>
      </c>
      <c r="I53" s="94">
        <f t="shared" si="26"/>
        <v>0</v>
      </c>
      <c r="J53" s="94">
        <f t="shared" si="26"/>
        <v>0</v>
      </c>
      <c r="K53" s="94">
        <f t="shared" si="26"/>
        <v>0</v>
      </c>
      <c r="L53" s="94">
        <f t="shared" si="26"/>
        <v>0</v>
      </c>
      <c r="M53" s="94">
        <f t="shared" si="26"/>
        <v>0</v>
      </c>
      <c r="N53" s="94">
        <f t="shared" si="26"/>
        <v>0</v>
      </c>
      <c r="O53" s="94">
        <f t="shared" si="26"/>
        <v>0</v>
      </c>
      <c r="P53" s="94">
        <f t="shared" si="26"/>
        <v>0</v>
      </c>
      <c r="Q53" s="94">
        <f t="shared" si="26"/>
        <v>0</v>
      </c>
      <c r="R53" s="94">
        <f t="shared" si="26"/>
        <v>0</v>
      </c>
      <c r="S53" s="94">
        <f t="shared" si="26"/>
        <v>0</v>
      </c>
      <c r="T53" s="94">
        <f t="shared" si="26"/>
        <v>0</v>
      </c>
      <c r="U53" s="94">
        <f t="shared" si="26"/>
        <v>0</v>
      </c>
      <c r="V53" s="94">
        <f t="shared" si="26"/>
        <v>0</v>
      </c>
      <c r="W53" s="94">
        <f t="shared" si="26"/>
        <v>0</v>
      </c>
      <c r="X53" s="94">
        <f t="shared" si="26"/>
        <v>0</v>
      </c>
      <c r="Y53" s="94">
        <f t="shared" si="26"/>
        <v>0</v>
      </c>
      <c r="Z53" s="94">
        <f t="shared" si="26"/>
        <v>0</v>
      </c>
      <c r="AA53" s="94">
        <f t="shared" si="26"/>
        <v>0</v>
      </c>
      <c r="AB53" s="94">
        <f t="shared" si="26"/>
        <v>0</v>
      </c>
      <c r="AC53" s="431">
        <f t="shared" si="26"/>
        <v>0</v>
      </c>
    </row>
    <row r="54" spans="1:29" ht="12">
      <c r="A54" s="49"/>
      <c r="B54" s="742"/>
      <c r="C54" s="743" t="str">
        <f>C41</f>
        <v>Železniční doprava</v>
      </c>
      <c r="D54" s="419">
        <f>SUM(E54:AC54,E60:AC60)</f>
        <v>0</v>
      </c>
      <c r="E54" s="403">
        <f>E41-E28</f>
        <v>0</v>
      </c>
      <c r="F54" s="403">
        <f>F41-F28</f>
        <v>0</v>
      </c>
      <c r="G54" s="403">
        <f t="shared" si="26"/>
        <v>0</v>
      </c>
      <c r="H54" s="403">
        <f t="shared" si="26"/>
        <v>0</v>
      </c>
      <c r="I54" s="403">
        <f t="shared" si="26"/>
        <v>0</v>
      </c>
      <c r="J54" s="403">
        <f t="shared" si="26"/>
        <v>0</v>
      </c>
      <c r="K54" s="403">
        <f t="shared" si="26"/>
        <v>0</v>
      </c>
      <c r="L54" s="403">
        <f t="shared" si="26"/>
        <v>0</v>
      </c>
      <c r="M54" s="403">
        <f t="shared" si="26"/>
        <v>0</v>
      </c>
      <c r="N54" s="403">
        <f t="shared" si="26"/>
        <v>0</v>
      </c>
      <c r="O54" s="403">
        <f t="shared" si="26"/>
        <v>0</v>
      </c>
      <c r="P54" s="403">
        <f t="shared" si="26"/>
        <v>0</v>
      </c>
      <c r="Q54" s="403">
        <f t="shared" si="26"/>
        <v>0</v>
      </c>
      <c r="R54" s="403">
        <f t="shared" si="26"/>
        <v>0</v>
      </c>
      <c r="S54" s="403">
        <f t="shared" si="26"/>
        <v>0</v>
      </c>
      <c r="T54" s="403">
        <f t="shared" si="26"/>
        <v>0</v>
      </c>
      <c r="U54" s="403">
        <f t="shared" si="26"/>
        <v>0</v>
      </c>
      <c r="V54" s="403">
        <f t="shared" si="26"/>
        <v>0</v>
      </c>
      <c r="W54" s="403">
        <f t="shared" si="26"/>
        <v>0</v>
      </c>
      <c r="X54" s="403">
        <f t="shared" si="26"/>
        <v>0</v>
      </c>
      <c r="Y54" s="403">
        <f t="shared" si="26"/>
        <v>0</v>
      </c>
      <c r="Z54" s="403">
        <f t="shared" si="26"/>
        <v>0</v>
      </c>
      <c r="AA54" s="403">
        <f t="shared" si="26"/>
        <v>0</v>
      </c>
      <c r="AB54" s="403">
        <f t="shared" si="26"/>
        <v>0</v>
      </c>
      <c r="AC54" s="435">
        <f t="shared" si="26"/>
        <v>0</v>
      </c>
    </row>
    <row r="55" spans="1:29" ht="12.75" thickBot="1">
      <c r="A55" s="49"/>
      <c r="B55" s="744"/>
      <c r="C55" s="745" t="str">
        <f>IF('0 Úvod'!$M$3="English",Slovnik!D171,Slovnik!C171)</f>
        <v>Rozdíl čistých převedených tunokm</v>
      </c>
      <c r="D55" s="420">
        <f>SUM(E55:AC55,E61:AC61)</f>
        <v>0</v>
      </c>
      <c r="E55" s="393">
        <f aca="true" t="shared" si="27" ref="E55:AC55">SUM(E53:E54)</f>
        <v>0</v>
      </c>
      <c r="F55" s="436">
        <f t="shared" si="27"/>
        <v>0</v>
      </c>
      <c r="G55" s="436">
        <f t="shared" si="27"/>
        <v>0</v>
      </c>
      <c r="H55" s="436">
        <f t="shared" si="27"/>
        <v>0</v>
      </c>
      <c r="I55" s="436">
        <f t="shared" si="27"/>
        <v>0</v>
      </c>
      <c r="J55" s="436">
        <f t="shared" si="27"/>
        <v>0</v>
      </c>
      <c r="K55" s="436">
        <f t="shared" si="27"/>
        <v>0</v>
      </c>
      <c r="L55" s="436">
        <f t="shared" si="27"/>
        <v>0</v>
      </c>
      <c r="M55" s="436">
        <f t="shared" si="27"/>
        <v>0</v>
      </c>
      <c r="N55" s="436">
        <f t="shared" si="27"/>
        <v>0</v>
      </c>
      <c r="O55" s="436">
        <f t="shared" si="27"/>
        <v>0</v>
      </c>
      <c r="P55" s="436">
        <f t="shared" si="27"/>
        <v>0</v>
      </c>
      <c r="Q55" s="436">
        <f t="shared" si="27"/>
        <v>0</v>
      </c>
      <c r="R55" s="436">
        <f t="shared" si="27"/>
        <v>0</v>
      </c>
      <c r="S55" s="436">
        <f t="shared" si="27"/>
        <v>0</v>
      </c>
      <c r="T55" s="436">
        <f t="shared" si="27"/>
        <v>0</v>
      </c>
      <c r="U55" s="436">
        <f t="shared" si="27"/>
        <v>0</v>
      </c>
      <c r="V55" s="436">
        <f t="shared" si="27"/>
        <v>0</v>
      </c>
      <c r="W55" s="436">
        <f t="shared" si="27"/>
        <v>0</v>
      </c>
      <c r="X55" s="436">
        <f t="shared" si="27"/>
        <v>0</v>
      </c>
      <c r="Y55" s="436">
        <f t="shared" si="27"/>
        <v>0</v>
      </c>
      <c r="Z55" s="436">
        <f t="shared" si="27"/>
        <v>0</v>
      </c>
      <c r="AA55" s="436">
        <f t="shared" si="27"/>
        <v>0</v>
      </c>
      <c r="AB55" s="436">
        <f t="shared" si="27"/>
        <v>0</v>
      </c>
      <c r="AC55" s="437">
        <f t="shared" si="27"/>
        <v>0</v>
      </c>
    </row>
    <row r="56" spans="1:29" ht="12" thickBot="1">
      <c r="A56" s="49"/>
      <c r="B56" s="85"/>
      <c r="C56" s="45"/>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row>
    <row r="57" spans="1:29" ht="12.75">
      <c r="A57" s="49"/>
      <c r="B57" s="450" t="str">
        <f>B51</f>
        <v>5.5.</v>
      </c>
      <c r="C57" s="468" t="str">
        <f>C51</f>
        <v>Celkové převedené čisté tunokm</v>
      </c>
      <c r="D57" s="457"/>
      <c r="E57" s="1351">
        <f>AC51+1</f>
        <v>2039</v>
      </c>
      <c r="F57" s="1351">
        <f>E57+1</f>
        <v>2040</v>
      </c>
      <c r="G57" s="1351">
        <f>F57+1</f>
        <v>2041</v>
      </c>
      <c r="H57" s="1351">
        <f>G57+1</f>
        <v>2042</v>
      </c>
      <c r="I57" s="1351">
        <f>H57+1</f>
        <v>2043</v>
      </c>
      <c r="J57" s="1351">
        <f>I57+1</f>
        <v>2044</v>
      </c>
      <c r="K57" s="1351">
        <f>J57+1</f>
        <v>2045</v>
      </c>
      <c r="L57" s="1351">
        <f>K57+1</f>
        <v>2046</v>
      </c>
      <c r="M57" s="1351">
        <f>L57+1</f>
        <v>2047</v>
      </c>
      <c r="N57" s="1351">
        <f>M57+1</f>
        <v>2048</v>
      </c>
      <c r="O57" s="1351">
        <f>N57+1</f>
        <v>2049</v>
      </c>
      <c r="P57" s="1351">
        <f>O57+1</f>
        <v>2050</v>
      </c>
      <c r="Q57" s="1351">
        <f>P57+1</f>
        <v>2051</v>
      </c>
      <c r="R57" s="1351">
        <f>Q57+1</f>
        <v>2052</v>
      </c>
      <c r="S57" s="1351">
        <f>R57+1</f>
        <v>2053</v>
      </c>
      <c r="T57" s="1351">
        <f>S57+1</f>
        <v>2054</v>
      </c>
      <c r="U57" s="1351">
        <f>T57+1</f>
        <v>2055</v>
      </c>
      <c r="V57" s="1351">
        <f>U57+1</f>
        <v>2056</v>
      </c>
      <c r="W57" s="1351">
        <f>V57+1</f>
        <v>2057</v>
      </c>
      <c r="X57" s="1351">
        <f>W57+1</f>
        <v>2058</v>
      </c>
      <c r="Y57" s="1351">
        <f>X57+1</f>
        <v>2059</v>
      </c>
      <c r="Z57" s="1351">
        <f>Y57+1</f>
        <v>2060</v>
      </c>
      <c r="AA57" s="1351">
        <f>Z57+1</f>
        <v>2061</v>
      </c>
      <c r="AB57" s="1351">
        <f>AA57+1</f>
        <v>2062</v>
      </c>
      <c r="AC57" s="1353">
        <f>AB57+1</f>
        <v>2063</v>
      </c>
    </row>
    <row r="58" spans="1:29" ht="13.5" thickBot="1">
      <c r="A58" s="49"/>
      <c r="B58" s="453" t="s">
        <v>19</v>
      </c>
      <c r="C58" s="458" t="str">
        <f>C52</f>
        <v>Přírůstek / úbytek</v>
      </c>
      <c r="D58" s="459"/>
      <c r="E58" s="1352"/>
      <c r="F58" s="1352"/>
      <c r="G58" s="1352"/>
      <c r="H58" s="1352"/>
      <c r="I58" s="1352"/>
      <c r="J58" s="1352"/>
      <c r="K58" s="1352"/>
      <c r="L58" s="1352"/>
      <c r="M58" s="1352"/>
      <c r="N58" s="1352"/>
      <c r="O58" s="1352"/>
      <c r="P58" s="1352"/>
      <c r="Q58" s="1352"/>
      <c r="R58" s="1352"/>
      <c r="S58" s="1352"/>
      <c r="T58" s="1352"/>
      <c r="U58" s="1352"/>
      <c r="V58" s="1352"/>
      <c r="W58" s="1352"/>
      <c r="X58" s="1352"/>
      <c r="Y58" s="1352"/>
      <c r="Z58" s="1352"/>
      <c r="AA58" s="1352"/>
      <c r="AB58" s="1352"/>
      <c r="AC58" s="1354"/>
    </row>
    <row r="59" spans="1:29" ht="12">
      <c r="A59" s="49"/>
      <c r="B59" s="740"/>
      <c r="C59" s="746" t="str">
        <f>C53</f>
        <v>Silniční doprava</v>
      </c>
      <c r="D59" s="747"/>
      <c r="E59" s="94">
        <f>E46-E33</f>
        <v>0</v>
      </c>
      <c r="F59" s="94">
        <f aca="true" t="shared" si="28" ref="F59:N60">F46-F33</f>
        <v>0</v>
      </c>
      <c r="G59" s="94">
        <f t="shared" si="28"/>
        <v>0</v>
      </c>
      <c r="H59" s="94">
        <f t="shared" si="28"/>
        <v>0</v>
      </c>
      <c r="I59" s="94">
        <f t="shared" si="28"/>
        <v>0</v>
      </c>
      <c r="J59" s="94">
        <f t="shared" si="28"/>
        <v>0</v>
      </c>
      <c r="K59" s="94">
        <f t="shared" si="28"/>
        <v>0</v>
      </c>
      <c r="L59" s="94">
        <f t="shared" si="28"/>
        <v>0</v>
      </c>
      <c r="M59" s="94">
        <f t="shared" si="28"/>
        <v>0</v>
      </c>
      <c r="N59" s="94">
        <f t="shared" si="28"/>
        <v>0</v>
      </c>
      <c r="O59" s="94">
        <f aca="true" t="shared" si="29" ref="O59:AC59">O33-O46</f>
        <v>0</v>
      </c>
      <c r="P59" s="94">
        <f t="shared" si="29"/>
        <v>0</v>
      </c>
      <c r="Q59" s="94">
        <f t="shared" si="29"/>
        <v>0</v>
      </c>
      <c r="R59" s="94">
        <f t="shared" si="29"/>
        <v>0</v>
      </c>
      <c r="S59" s="94">
        <f t="shared" si="29"/>
        <v>0</v>
      </c>
      <c r="T59" s="94">
        <f t="shared" si="29"/>
        <v>0</v>
      </c>
      <c r="U59" s="94">
        <f t="shared" si="29"/>
        <v>0</v>
      </c>
      <c r="V59" s="94">
        <f t="shared" si="29"/>
        <v>0</v>
      </c>
      <c r="W59" s="94">
        <f t="shared" si="29"/>
        <v>0</v>
      </c>
      <c r="X59" s="94">
        <f t="shared" si="29"/>
        <v>0</v>
      </c>
      <c r="Y59" s="94">
        <f t="shared" si="29"/>
        <v>0</v>
      </c>
      <c r="Z59" s="94">
        <f t="shared" si="29"/>
        <v>0</v>
      </c>
      <c r="AA59" s="94">
        <f t="shared" si="29"/>
        <v>0</v>
      </c>
      <c r="AB59" s="94">
        <f t="shared" si="29"/>
        <v>0</v>
      </c>
      <c r="AC59" s="431">
        <f t="shared" si="29"/>
        <v>0</v>
      </c>
    </row>
    <row r="60" spans="1:29" ht="12">
      <c r="A60" s="49"/>
      <c r="B60" s="748"/>
      <c r="C60" s="749" t="str">
        <f>C54</f>
        <v>Železniční doprava</v>
      </c>
      <c r="D60" s="750"/>
      <c r="E60" s="403">
        <f>E47-E34</f>
        <v>0</v>
      </c>
      <c r="F60" s="403">
        <f t="shared" si="28"/>
        <v>0</v>
      </c>
      <c r="G60" s="403">
        <f t="shared" si="28"/>
        <v>0</v>
      </c>
      <c r="H60" s="403">
        <f t="shared" si="28"/>
        <v>0</v>
      </c>
      <c r="I60" s="403">
        <f t="shared" si="28"/>
        <v>0</v>
      </c>
      <c r="J60" s="403">
        <f t="shared" si="28"/>
        <v>0</v>
      </c>
      <c r="K60" s="403">
        <f t="shared" si="28"/>
        <v>0</v>
      </c>
      <c r="L60" s="403">
        <f t="shared" si="28"/>
        <v>0</v>
      </c>
      <c r="M60" s="403">
        <f t="shared" si="28"/>
        <v>0</v>
      </c>
      <c r="N60" s="403">
        <f t="shared" si="28"/>
        <v>0</v>
      </c>
      <c r="O60" s="403">
        <f aca="true" t="shared" si="30" ref="O60:AC60">O34-O47</f>
        <v>0</v>
      </c>
      <c r="P60" s="403">
        <f t="shared" si="30"/>
        <v>0</v>
      </c>
      <c r="Q60" s="403">
        <f t="shared" si="30"/>
        <v>0</v>
      </c>
      <c r="R60" s="403">
        <f t="shared" si="30"/>
        <v>0</v>
      </c>
      <c r="S60" s="403">
        <f t="shared" si="30"/>
        <v>0</v>
      </c>
      <c r="T60" s="403">
        <f t="shared" si="30"/>
        <v>0</v>
      </c>
      <c r="U60" s="403">
        <f t="shared" si="30"/>
        <v>0</v>
      </c>
      <c r="V60" s="403">
        <f t="shared" si="30"/>
        <v>0</v>
      </c>
      <c r="W60" s="403">
        <f t="shared" si="30"/>
        <v>0</v>
      </c>
      <c r="X60" s="403">
        <f t="shared" si="30"/>
        <v>0</v>
      </c>
      <c r="Y60" s="403">
        <f t="shared" si="30"/>
        <v>0</v>
      </c>
      <c r="Z60" s="403">
        <f t="shared" si="30"/>
        <v>0</v>
      </c>
      <c r="AA60" s="403">
        <f t="shared" si="30"/>
        <v>0</v>
      </c>
      <c r="AB60" s="403">
        <f t="shared" si="30"/>
        <v>0</v>
      </c>
      <c r="AC60" s="435">
        <f t="shared" si="30"/>
        <v>0</v>
      </c>
    </row>
    <row r="61" spans="1:29" ht="12.75" thickBot="1">
      <c r="A61" s="49"/>
      <c r="B61" s="744"/>
      <c r="C61" s="751" t="str">
        <f>C55</f>
        <v>Rozdíl čistých převedených tunokm</v>
      </c>
      <c r="D61" s="752"/>
      <c r="E61" s="428">
        <f aca="true" t="shared" si="31" ref="E61:AC61">SUM(E59:E60)</f>
        <v>0</v>
      </c>
      <c r="F61" s="428">
        <f t="shared" si="31"/>
        <v>0</v>
      </c>
      <c r="G61" s="428">
        <f t="shared" si="31"/>
        <v>0</v>
      </c>
      <c r="H61" s="428">
        <f t="shared" si="31"/>
        <v>0</v>
      </c>
      <c r="I61" s="428">
        <f t="shared" si="31"/>
        <v>0</v>
      </c>
      <c r="J61" s="428">
        <f t="shared" si="31"/>
        <v>0</v>
      </c>
      <c r="K61" s="428">
        <f t="shared" si="31"/>
        <v>0</v>
      </c>
      <c r="L61" s="428">
        <f t="shared" si="31"/>
        <v>0</v>
      </c>
      <c r="M61" s="428">
        <f t="shared" si="31"/>
        <v>0</v>
      </c>
      <c r="N61" s="428">
        <f t="shared" si="31"/>
        <v>0</v>
      </c>
      <c r="O61" s="428">
        <f t="shared" si="31"/>
        <v>0</v>
      </c>
      <c r="P61" s="428">
        <f t="shared" si="31"/>
        <v>0</v>
      </c>
      <c r="Q61" s="428">
        <f t="shared" si="31"/>
        <v>0</v>
      </c>
      <c r="R61" s="428">
        <f t="shared" si="31"/>
        <v>0</v>
      </c>
      <c r="S61" s="428">
        <f t="shared" si="31"/>
        <v>0</v>
      </c>
      <c r="T61" s="428">
        <f t="shared" si="31"/>
        <v>0</v>
      </c>
      <c r="U61" s="428">
        <f t="shared" si="31"/>
        <v>0</v>
      </c>
      <c r="V61" s="428">
        <f t="shared" si="31"/>
        <v>0</v>
      </c>
      <c r="W61" s="428">
        <f t="shared" si="31"/>
        <v>0</v>
      </c>
      <c r="X61" s="428">
        <f t="shared" si="31"/>
        <v>0</v>
      </c>
      <c r="Y61" s="428">
        <f t="shared" si="31"/>
        <v>0</v>
      </c>
      <c r="Z61" s="428">
        <f t="shared" si="31"/>
        <v>0</v>
      </c>
      <c r="AA61" s="428">
        <f t="shared" si="31"/>
        <v>0</v>
      </c>
      <c r="AB61" s="428">
        <f t="shared" si="31"/>
        <v>0</v>
      </c>
      <c r="AC61" s="429">
        <f t="shared" si="31"/>
        <v>0</v>
      </c>
    </row>
    <row r="62" spans="1:19" ht="11.25">
      <c r="A62" s="49"/>
      <c r="B62" s="49"/>
      <c r="C62" s="49"/>
      <c r="D62" s="49"/>
      <c r="E62" s="49"/>
      <c r="F62" s="49"/>
      <c r="G62" s="49"/>
      <c r="H62" s="49"/>
      <c r="I62" s="49"/>
      <c r="J62" s="49"/>
      <c r="K62" s="49"/>
      <c r="L62" s="49"/>
      <c r="M62" s="49"/>
      <c r="N62" s="49"/>
      <c r="O62" s="49"/>
      <c r="P62" s="49"/>
      <c r="Q62" s="49"/>
      <c r="R62" s="49"/>
      <c r="S62" s="49"/>
    </row>
    <row r="63" spans="1:19" ht="12" thickBot="1">
      <c r="A63" s="49"/>
      <c r="B63" s="49"/>
      <c r="C63" s="49"/>
      <c r="D63" s="49"/>
      <c r="E63" s="49"/>
      <c r="F63" s="49"/>
      <c r="G63" s="49"/>
      <c r="H63" s="49"/>
      <c r="I63" s="49"/>
      <c r="J63" s="49"/>
      <c r="K63" s="49"/>
      <c r="L63" s="49"/>
      <c r="M63" s="49"/>
      <c r="N63" s="49"/>
      <c r="O63" s="49"/>
      <c r="P63" s="49"/>
      <c r="Q63" s="49"/>
      <c r="R63" s="49"/>
      <c r="S63" s="49"/>
    </row>
    <row r="64" spans="1:19" ht="11.25" customHeight="1">
      <c r="A64" s="49"/>
      <c r="B64" s="1355" t="str">
        <f>IF('0 Úvod'!$M$3="English",Slovnik!D173,Slovnik!C173)</f>
        <v>Komentáře</v>
      </c>
      <c r="C64" s="1356"/>
      <c r="D64" s="1356"/>
      <c r="E64" s="1356"/>
      <c r="F64" s="1356"/>
      <c r="G64" s="1356"/>
      <c r="H64" s="1356"/>
      <c r="I64" s="1356"/>
      <c r="J64" s="1356"/>
      <c r="K64" s="1356"/>
      <c r="L64" s="1356"/>
      <c r="M64" s="1356"/>
      <c r="N64" s="1356"/>
      <c r="O64" s="1356"/>
      <c r="P64" s="1357"/>
      <c r="Q64" s="49"/>
      <c r="R64" s="49"/>
      <c r="S64" s="49"/>
    </row>
    <row r="65" spans="1:19" ht="12" customHeight="1" thickBot="1">
      <c r="A65" s="49"/>
      <c r="B65" s="1358"/>
      <c r="C65" s="1359"/>
      <c r="D65" s="1359"/>
      <c r="E65" s="1359"/>
      <c r="F65" s="1359"/>
      <c r="G65" s="1359"/>
      <c r="H65" s="1359"/>
      <c r="I65" s="1359"/>
      <c r="J65" s="1359"/>
      <c r="K65" s="1359"/>
      <c r="L65" s="1359"/>
      <c r="M65" s="1359"/>
      <c r="N65" s="1359"/>
      <c r="O65" s="1359"/>
      <c r="P65" s="1360"/>
      <c r="Q65" s="49"/>
      <c r="R65" s="49"/>
      <c r="S65" s="49"/>
    </row>
    <row r="66" spans="2:16" ht="12.75" customHeight="1">
      <c r="B66" s="1342"/>
      <c r="C66" s="1343"/>
      <c r="D66" s="1343"/>
      <c r="E66" s="1343"/>
      <c r="F66" s="1343"/>
      <c r="G66" s="1343"/>
      <c r="H66" s="1343"/>
      <c r="I66" s="1343"/>
      <c r="J66" s="1343"/>
      <c r="K66" s="1343"/>
      <c r="L66" s="1343"/>
      <c r="M66" s="1343"/>
      <c r="N66" s="1343"/>
      <c r="O66" s="1343"/>
      <c r="P66" s="1344"/>
    </row>
    <row r="67" spans="2:16" ht="12.75" customHeight="1">
      <c r="B67" s="1345"/>
      <c r="C67" s="1346"/>
      <c r="D67" s="1346"/>
      <c r="E67" s="1346"/>
      <c r="F67" s="1346"/>
      <c r="G67" s="1346"/>
      <c r="H67" s="1346"/>
      <c r="I67" s="1346"/>
      <c r="J67" s="1346"/>
      <c r="K67" s="1346"/>
      <c r="L67" s="1346"/>
      <c r="M67" s="1346"/>
      <c r="N67" s="1346"/>
      <c r="O67" s="1346"/>
      <c r="P67" s="1347"/>
    </row>
    <row r="68" spans="2:16" ht="12.75" customHeight="1" thickBot="1">
      <c r="B68" s="1348"/>
      <c r="C68" s="1349"/>
      <c r="D68" s="1349"/>
      <c r="E68" s="1349"/>
      <c r="F68" s="1349"/>
      <c r="G68" s="1349"/>
      <c r="H68" s="1349"/>
      <c r="I68" s="1349"/>
      <c r="J68" s="1349"/>
      <c r="K68" s="1349"/>
      <c r="L68" s="1349"/>
      <c r="M68" s="1349"/>
      <c r="N68" s="1349"/>
      <c r="O68" s="1349"/>
      <c r="P68" s="1350"/>
    </row>
  </sheetData>
  <sheetProtection/>
  <mergeCells count="202">
    <mergeCell ref="E31:E32"/>
    <mergeCell ref="F31:F32"/>
    <mergeCell ref="G31:G32"/>
    <mergeCell ref="H31:H32"/>
    <mergeCell ref="S8:S9"/>
    <mergeCell ref="F8:F9"/>
    <mergeCell ref="G8:G9"/>
    <mergeCell ref="H8:H9"/>
    <mergeCell ref="E25:E26"/>
    <mergeCell ref="F25:F26"/>
    <mergeCell ref="G25:G26"/>
    <mergeCell ref="H25:H26"/>
    <mergeCell ref="I25:I26"/>
    <mergeCell ref="J25:J26"/>
    <mergeCell ref="M25:M26"/>
    <mergeCell ref="N25:N26"/>
    <mergeCell ref="O25:O26"/>
    <mergeCell ref="K25:K26"/>
    <mergeCell ref="L25:L26"/>
    <mergeCell ref="P25:P26"/>
    <mergeCell ref="Q25:Q26"/>
    <mergeCell ref="R25:R26"/>
    <mergeCell ref="S25:S26"/>
    <mergeCell ref="I2:I3"/>
    <mergeCell ref="O2:O3"/>
    <mergeCell ref="O8:O9"/>
    <mergeCell ref="N8:N9"/>
    <mergeCell ref="N2:N3"/>
    <mergeCell ref="I8:I9"/>
    <mergeCell ref="J8:J9"/>
    <mergeCell ref="M8:M9"/>
    <mergeCell ref="J2:J3"/>
    <mergeCell ref="M2:M3"/>
    <mergeCell ref="E38:E39"/>
    <mergeCell ref="F38:F39"/>
    <mergeCell ref="G38:G39"/>
    <mergeCell ref="H38:H39"/>
    <mergeCell ref="I38:I39"/>
    <mergeCell ref="J38:J39"/>
    <mergeCell ref="K38:K39"/>
    <mergeCell ref="L38:L39"/>
    <mergeCell ref="S2:S3"/>
    <mergeCell ref="P2:P3"/>
    <mergeCell ref="Q2:Q3"/>
    <mergeCell ref="K8:K9"/>
    <mergeCell ref="L8:L9"/>
    <mergeCell ref="Q8:Q9"/>
    <mergeCell ref="R8:R9"/>
    <mergeCell ref="P8:P9"/>
    <mergeCell ref="R2:R3"/>
    <mergeCell ref="E2:E3"/>
    <mergeCell ref="F2:F3"/>
    <mergeCell ref="G2:G3"/>
    <mergeCell ref="H2:H3"/>
    <mergeCell ref="E8:E9"/>
    <mergeCell ref="K2:K3"/>
    <mergeCell ref="L2:L3"/>
    <mergeCell ref="R44:R45"/>
    <mergeCell ref="S44:S45"/>
    <mergeCell ref="L44:L45"/>
    <mergeCell ref="M44:M45"/>
    <mergeCell ref="N44:N45"/>
    <mergeCell ref="O44:O45"/>
    <mergeCell ref="I31:I32"/>
    <mergeCell ref="J31:J32"/>
    <mergeCell ref="K31:K32"/>
    <mergeCell ref="L31:L32"/>
    <mergeCell ref="M31:M32"/>
    <mergeCell ref="M38:M39"/>
    <mergeCell ref="N38:N39"/>
    <mergeCell ref="O38:O39"/>
    <mergeCell ref="P38:P39"/>
    <mergeCell ref="R31:R32"/>
    <mergeCell ref="S31:S32"/>
    <mergeCell ref="Q38:Q39"/>
    <mergeCell ref="R38:R39"/>
    <mergeCell ref="N31:N32"/>
    <mergeCell ref="O31:O32"/>
    <mergeCell ref="P31:P32"/>
    <mergeCell ref="Q31:Q32"/>
    <mergeCell ref="S38:S39"/>
    <mergeCell ref="E44:E45"/>
    <mergeCell ref="F44:F45"/>
    <mergeCell ref="G44:G45"/>
    <mergeCell ref="H44:H45"/>
    <mergeCell ref="I44:I45"/>
    <mergeCell ref="J44:J45"/>
    <mergeCell ref="K44:K45"/>
    <mergeCell ref="P44:P45"/>
    <mergeCell ref="Q44:Q45"/>
    <mergeCell ref="AB25:AB26"/>
    <mergeCell ref="AC25:AC26"/>
    <mergeCell ref="T31:T32"/>
    <mergeCell ref="U31:U32"/>
    <mergeCell ref="V31:V32"/>
    <mergeCell ref="W31:W32"/>
    <mergeCell ref="X31:X32"/>
    <mergeCell ref="Y31:Y32"/>
    <mergeCell ref="Z31:Z32"/>
    <mergeCell ref="AA31:AA32"/>
    <mergeCell ref="AB31:AB32"/>
    <mergeCell ref="AC31:AC32"/>
    <mergeCell ref="T25:T26"/>
    <mergeCell ref="U25:U26"/>
    <mergeCell ref="V25:V26"/>
    <mergeCell ref="W25:W26"/>
    <mergeCell ref="X25:X26"/>
    <mergeCell ref="Y25:Y26"/>
    <mergeCell ref="Z25:Z26"/>
    <mergeCell ref="AA25:AA26"/>
    <mergeCell ref="AB38:AB39"/>
    <mergeCell ref="AC38:AC39"/>
    <mergeCell ref="T44:T45"/>
    <mergeCell ref="U44:U45"/>
    <mergeCell ref="V44:V45"/>
    <mergeCell ref="W44:W45"/>
    <mergeCell ref="X44:X45"/>
    <mergeCell ref="Y44:Y45"/>
    <mergeCell ref="Z44:Z45"/>
    <mergeCell ref="AA44:AA45"/>
    <mergeCell ref="AB44:AB45"/>
    <mergeCell ref="AC44:AC45"/>
    <mergeCell ref="T38:T39"/>
    <mergeCell ref="U38:U39"/>
    <mergeCell ref="V38:V39"/>
    <mergeCell ref="W38:W39"/>
    <mergeCell ref="X38:X39"/>
    <mergeCell ref="Y38:Y39"/>
    <mergeCell ref="Z38:Z39"/>
    <mergeCell ref="AA38:AA39"/>
    <mergeCell ref="AC2:AC3"/>
    <mergeCell ref="T8:T9"/>
    <mergeCell ref="U8:U9"/>
    <mergeCell ref="V8:V9"/>
    <mergeCell ref="W8:W9"/>
    <mergeCell ref="X8:X9"/>
    <mergeCell ref="Y8:Y9"/>
    <mergeCell ref="Z8:Z9"/>
    <mergeCell ref="AA8:AA9"/>
    <mergeCell ref="AB8:AB9"/>
    <mergeCell ref="AC8:AC9"/>
    <mergeCell ref="T2:T3"/>
    <mergeCell ref="U2:U3"/>
    <mergeCell ref="V2:V3"/>
    <mergeCell ref="W2:W3"/>
    <mergeCell ref="X2:X3"/>
    <mergeCell ref="Y2:Y3"/>
    <mergeCell ref="Z2:Z3"/>
    <mergeCell ref="AA2:AA3"/>
    <mergeCell ref="AB2:AB3"/>
    <mergeCell ref="N51:N52"/>
    <mergeCell ref="O51:O52"/>
    <mergeCell ref="P51:P52"/>
    <mergeCell ref="Q51:Q52"/>
    <mergeCell ref="R51:R52"/>
    <mergeCell ref="S51:S52"/>
    <mergeCell ref="T51:T52"/>
    <mergeCell ref="U51:U52"/>
    <mergeCell ref="E51:E52"/>
    <mergeCell ref="F51:F52"/>
    <mergeCell ref="G51:G52"/>
    <mergeCell ref="H51:H52"/>
    <mergeCell ref="I51:I52"/>
    <mergeCell ref="J51:J52"/>
    <mergeCell ref="K51:K52"/>
    <mergeCell ref="L51:L52"/>
    <mergeCell ref="M51:M52"/>
    <mergeCell ref="W51:W52"/>
    <mergeCell ref="X51:X52"/>
    <mergeCell ref="Y51:Y52"/>
    <mergeCell ref="Z51:Z52"/>
    <mergeCell ref="AA51:AA52"/>
    <mergeCell ref="AB51:AB52"/>
    <mergeCell ref="AC51:AC52"/>
    <mergeCell ref="V51:V52"/>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T57:T58"/>
    <mergeCell ref="B66:P68"/>
    <mergeCell ref="V57:V58"/>
    <mergeCell ref="W57:W58"/>
    <mergeCell ref="X57:X58"/>
    <mergeCell ref="Y57:Y58"/>
    <mergeCell ref="Z57:Z58"/>
    <mergeCell ref="AA57:AA58"/>
    <mergeCell ref="AB57:AB58"/>
    <mergeCell ref="AC57:AC58"/>
    <mergeCell ref="U57:U58"/>
    <mergeCell ref="B64:P65"/>
  </mergeCells>
  <printOptions horizontalCentered="1" verticalCentered="1"/>
  <pageMargins left="0.1931496062992126" right="0.15314960629921262" top="0.7900000000000001" bottom="0.7900000000000001" header="0.39000000000000007" footer="0.39000000000000007"/>
  <pageSetup fitToHeight="0" fitToWidth="1" horizontalDpi="600" verticalDpi="600" orientation="landscape" paperSize="9" scale="44" r:id="rId2"/>
  <headerFooter alignWithMargins="0">
    <oddFooter>&amp;L&amp;A&amp;C25.2.2013</oddFooter>
  </headerFooter>
  <legacyDrawing r:id="rId1"/>
</worksheet>
</file>

<file path=xl/worksheets/sheet7.xml><?xml version="1.0" encoding="utf-8"?>
<worksheet xmlns="http://schemas.openxmlformats.org/spreadsheetml/2006/main" xmlns:r="http://schemas.openxmlformats.org/officeDocument/2006/relationships">
  <sheetPr codeName="List3">
    <tabColor theme="9" tint="0.39998000860214233"/>
  </sheetPr>
  <dimension ref="A1:AE101"/>
  <sheetViews>
    <sheetView zoomScale="75" zoomScaleNormal="75" zoomScalePageLayoutView="0" workbookViewId="0" topLeftCell="A49">
      <selection activeCell="R98" sqref="R98"/>
    </sheetView>
  </sheetViews>
  <sheetFormatPr defaultColWidth="9.140625" defaultRowHeight="12.75"/>
  <cols>
    <col min="1" max="1" width="2.7109375" style="58" customWidth="1"/>
    <col min="2" max="2" width="7.140625" style="58" customWidth="1"/>
    <col min="3" max="3" width="56.140625" style="58" customWidth="1"/>
    <col min="4" max="4" width="13.00390625" style="58" bestFit="1" customWidth="1"/>
    <col min="5" max="5" width="12.140625" style="58" customWidth="1"/>
    <col min="6" max="7" width="12.28125" style="58" bestFit="1" customWidth="1"/>
    <col min="8" max="8" width="12.28125" style="58" customWidth="1"/>
    <col min="9" max="9" width="12.421875" style="58" customWidth="1"/>
    <col min="10" max="10" width="12.28125" style="58" customWidth="1"/>
    <col min="11" max="17" width="12.28125" style="58" bestFit="1" customWidth="1"/>
    <col min="18" max="20" width="12.28125" style="58" customWidth="1"/>
    <col min="21" max="21" width="12.28125" style="86" customWidth="1"/>
    <col min="22" max="29" width="12.28125" style="58" customWidth="1"/>
    <col min="30" max="30" width="7.140625" style="58" customWidth="1"/>
    <col min="31" max="31" width="23.00390625" style="58" hidden="1" customWidth="1"/>
    <col min="32" max="35" width="7.140625" style="58" customWidth="1"/>
    <col min="36" max="16384" width="9.140625" style="58" customWidth="1"/>
  </cols>
  <sheetData>
    <row r="1" spans="2:19" ht="12" thickBot="1">
      <c r="B1" s="56"/>
      <c r="C1" s="56"/>
      <c r="D1" s="56"/>
      <c r="E1" s="57"/>
      <c r="F1" s="56"/>
      <c r="G1" s="56"/>
      <c r="H1" s="56"/>
      <c r="I1" s="56"/>
      <c r="J1" s="56"/>
      <c r="K1" s="56"/>
      <c r="L1" s="56"/>
      <c r="M1" s="56"/>
      <c r="N1" s="56"/>
      <c r="O1" s="56"/>
      <c r="P1" s="56"/>
      <c r="Q1" s="56"/>
      <c r="R1" s="56"/>
      <c r="S1" s="56"/>
    </row>
    <row r="2" spans="2:31" ht="12.75">
      <c r="B2" s="410" t="s">
        <v>11</v>
      </c>
      <c r="C2" s="414" t="str">
        <f>IF('0 Úvod'!$M$3="English",Slovnik!D175,Slovnik!C175)</f>
        <v>Celkové provozní náklady dopravců</v>
      </c>
      <c r="D2" s="416" t="s">
        <v>134</v>
      </c>
      <c r="E2" s="1363">
        <f>'0 Úvod'!G18</f>
        <v>2014</v>
      </c>
      <c r="F2" s="1363">
        <f aca="true" t="shared" si="0" ref="F2:S2">E2+1</f>
        <v>2015</v>
      </c>
      <c r="G2" s="1363">
        <f t="shared" si="0"/>
        <v>2016</v>
      </c>
      <c r="H2" s="1363">
        <f t="shared" si="0"/>
        <v>2017</v>
      </c>
      <c r="I2" s="1363">
        <f t="shared" si="0"/>
        <v>2018</v>
      </c>
      <c r="J2" s="1363">
        <f t="shared" si="0"/>
        <v>2019</v>
      </c>
      <c r="K2" s="1363">
        <f t="shared" si="0"/>
        <v>2020</v>
      </c>
      <c r="L2" s="1363">
        <f t="shared" si="0"/>
        <v>2021</v>
      </c>
      <c r="M2" s="1363">
        <f t="shared" si="0"/>
        <v>2022</v>
      </c>
      <c r="N2" s="1363">
        <f t="shared" si="0"/>
        <v>2023</v>
      </c>
      <c r="O2" s="1363">
        <f t="shared" si="0"/>
        <v>2024</v>
      </c>
      <c r="P2" s="1363">
        <f t="shared" si="0"/>
        <v>2025</v>
      </c>
      <c r="Q2" s="1363">
        <f t="shared" si="0"/>
        <v>2026</v>
      </c>
      <c r="R2" s="1363">
        <f t="shared" si="0"/>
        <v>2027</v>
      </c>
      <c r="S2" s="1363">
        <f t="shared" si="0"/>
        <v>2028</v>
      </c>
      <c r="T2" s="1363">
        <f aca="true" t="shared" si="1" ref="T2:AC2">S2+1</f>
        <v>2029</v>
      </c>
      <c r="U2" s="1363">
        <f t="shared" si="1"/>
        <v>2030</v>
      </c>
      <c r="V2" s="1363">
        <f t="shared" si="1"/>
        <v>2031</v>
      </c>
      <c r="W2" s="1363">
        <f t="shared" si="1"/>
        <v>2032</v>
      </c>
      <c r="X2" s="1363">
        <f t="shared" si="1"/>
        <v>2033</v>
      </c>
      <c r="Y2" s="1363">
        <f t="shared" si="1"/>
        <v>2034</v>
      </c>
      <c r="Z2" s="1363">
        <f t="shared" si="1"/>
        <v>2035</v>
      </c>
      <c r="AA2" s="1363">
        <f t="shared" si="1"/>
        <v>2036</v>
      </c>
      <c r="AB2" s="1363">
        <f t="shared" si="1"/>
        <v>2037</v>
      </c>
      <c r="AC2" s="1361">
        <f t="shared" si="1"/>
        <v>2038</v>
      </c>
      <c r="AE2" s="86"/>
    </row>
    <row r="3" spans="2:31" ht="13.5" thickBot="1">
      <c r="B3" s="411" t="s">
        <v>17</v>
      </c>
      <c r="C3" s="412" t="str">
        <f>IF('0 Úvod'!$M$3="English",Slovnik!D176,Slovnik!C176)</f>
        <v>Scénář s projektem</v>
      </c>
      <c r="D3" s="417" t="str">
        <f>IF('0 Úvod'!$M$3="English",Slovnik!D149,Slovnik!C149)</f>
        <v>Celkem</v>
      </c>
      <c r="E3" s="1364"/>
      <c r="F3" s="1364"/>
      <c r="G3" s="1364"/>
      <c r="H3" s="1364"/>
      <c r="I3" s="1364"/>
      <c r="J3" s="1364"/>
      <c r="K3" s="1364"/>
      <c r="L3" s="1364"/>
      <c r="M3" s="1364"/>
      <c r="N3" s="1364"/>
      <c r="O3" s="1364"/>
      <c r="P3" s="1364"/>
      <c r="Q3" s="1364"/>
      <c r="R3" s="1364"/>
      <c r="S3" s="1364"/>
      <c r="T3" s="1364"/>
      <c r="U3" s="1364"/>
      <c r="V3" s="1364"/>
      <c r="W3" s="1364"/>
      <c r="X3" s="1364"/>
      <c r="Y3" s="1364"/>
      <c r="Z3" s="1364"/>
      <c r="AA3" s="1364"/>
      <c r="AB3" s="1364"/>
      <c r="AC3" s="1362"/>
      <c r="AE3" s="86"/>
    </row>
    <row r="4" spans="2:31" ht="12">
      <c r="B4" s="585"/>
      <c r="C4" s="571" t="str">
        <f>IF('0 Úvod'!$M$3="English",Slovnik!D177,Slovnik!C177)</f>
        <v>Vodní doprava - zvýšení efektivity</v>
      </c>
      <c r="D4" s="418">
        <f>SUM(E4:AC4,E12:AC12)</f>
        <v>0</v>
      </c>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5"/>
      <c r="AE4" s="86"/>
    </row>
    <row r="5" spans="2:31" ht="12">
      <c r="B5" s="586"/>
      <c r="C5" s="571" t="str">
        <f>IF('0 Úvod'!$M$3="English",Slovnik!D178,Slovnik!C178)</f>
        <v>Silniční doprava</v>
      </c>
      <c r="D5" s="418">
        <f>SUM(E5:AC5,E13:AC13)</f>
        <v>0</v>
      </c>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7"/>
      <c r="AE5" s="86"/>
    </row>
    <row r="6" spans="2:31" ht="12" customHeight="1">
      <c r="B6" s="586"/>
      <c r="C6" s="571" t="str">
        <f>IF('0 Úvod'!$M$3="English",Slovnik!D179,Slovnik!C179)</f>
        <v>Železniční doprava</v>
      </c>
      <c r="D6" s="418">
        <f>SUM(E6:AC6,E14:AC14)</f>
        <v>0</v>
      </c>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7"/>
      <c r="AE6" s="86"/>
    </row>
    <row r="7" spans="2:31" s="88" customFormat="1" ht="12">
      <c r="B7" s="587"/>
      <c r="C7" s="573" t="str">
        <f>IF('0 Úvod'!$M$3="English",Slovnik!D180,Slovnik!C180)</f>
        <v>Indukovaná říční doprava</v>
      </c>
      <c r="D7" s="419">
        <f>SUM(E7:AC7,E15:AC15)</f>
        <v>0</v>
      </c>
      <c r="E7" s="1168"/>
      <c r="F7" s="1168"/>
      <c r="G7" s="1168"/>
      <c r="H7" s="1168"/>
      <c r="I7" s="1168"/>
      <c r="J7" s="1168"/>
      <c r="K7" s="1168"/>
      <c r="L7" s="1168"/>
      <c r="M7" s="1168"/>
      <c r="N7" s="1168"/>
      <c r="O7" s="1168"/>
      <c r="P7" s="1168"/>
      <c r="Q7" s="1168"/>
      <c r="R7" s="1168"/>
      <c r="S7" s="1168"/>
      <c r="T7" s="1168"/>
      <c r="U7" s="1168"/>
      <c r="V7" s="1168"/>
      <c r="W7" s="1168"/>
      <c r="X7" s="1168"/>
      <c r="Y7" s="1168"/>
      <c r="Z7" s="1168"/>
      <c r="AA7" s="1168"/>
      <c r="AB7" s="1168"/>
      <c r="AC7" s="1169"/>
      <c r="AE7" s="89" t="s">
        <v>3</v>
      </c>
    </row>
    <row r="8" spans="2:31" ht="12.75" thickBot="1">
      <c r="B8" s="588"/>
      <c r="C8" s="575" t="str">
        <f>IF('0 Úvod'!$M$3="English",Slovnik!D181,Slovnik!C181)</f>
        <v>Celkové provozní náklady přepravců</v>
      </c>
      <c r="D8" s="427">
        <f>SUM(E8:AC8,E16:AC16)</f>
        <v>0</v>
      </c>
      <c r="E8" s="461">
        <f>SUM(E4:E7)</f>
        <v>0</v>
      </c>
      <c r="F8" s="461">
        <f>SUM(F4:F7)</f>
        <v>0</v>
      </c>
      <c r="G8" s="461">
        <f aca="true" t="shared" si="2" ref="G8:S8">SUM(G4:G7)</f>
        <v>0</v>
      </c>
      <c r="H8" s="461">
        <f t="shared" si="2"/>
        <v>0</v>
      </c>
      <c r="I8" s="461">
        <f t="shared" si="2"/>
        <v>0</v>
      </c>
      <c r="J8" s="461">
        <f t="shared" si="2"/>
        <v>0</v>
      </c>
      <c r="K8" s="461">
        <f t="shared" si="2"/>
        <v>0</v>
      </c>
      <c r="L8" s="461">
        <f t="shared" si="2"/>
        <v>0</v>
      </c>
      <c r="M8" s="461">
        <f t="shared" si="2"/>
        <v>0</v>
      </c>
      <c r="N8" s="461">
        <f t="shared" si="2"/>
        <v>0</v>
      </c>
      <c r="O8" s="461">
        <f t="shared" si="2"/>
        <v>0</v>
      </c>
      <c r="P8" s="461">
        <f t="shared" si="2"/>
        <v>0</v>
      </c>
      <c r="Q8" s="461">
        <f t="shared" si="2"/>
        <v>0</v>
      </c>
      <c r="R8" s="461">
        <f t="shared" si="2"/>
        <v>0</v>
      </c>
      <c r="S8" s="461">
        <f t="shared" si="2"/>
        <v>0</v>
      </c>
      <c r="T8" s="461">
        <f aca="true" t="shared" si="3" ref="T8:AC8">SUM(T4:T7)</f>
        <v>0</v>
      </c>
      <c r="U8" s="461">
        <f t="shared" si="3"/>
        <v>0</v>
      </c>
      <c r="V8" s="461">
        <f t="shared" si="3"/>
        <v>0</v>
      </c>
      <c r="W8" s="461">
        <f t="shared" si="3"/>
        <v>0</v>
      </c>
      <c r="X8" s="461">
        <f t="shared" si="3"/>
        <v>0</v>
      </c>
      <c r="Y8" s="461">
        <f t="shared" si="3"/>
        <v>0</v>
      </c>
      <c r="Z8" s="461">
        <f t="shared" si="3"/>
        <v>0</v>
      </c>
      <c r="AA8" s="461">
        <f t="shared" si="3"/>
        <v>0</v>
      </c>
      <c r="AB8" s="461">
        <f t="shared" si="3"/>
        <v>0</v>
      </c>
      <c r="AC8" s="462">
        <f t="shared" si="3"/>
        <v>0</v>
      </c>
      <c r="AE8" s="89" t="s">
        <v>4</v>
      </c>
    </row>
    <row r="9" spans="2:31" ht="12" thickBot="1">
      <c r="B9" s="56"/>
      <c r="C9" s="56"/>
      <c r="D9" s="64"/>
      <c r="E9" s="57"/>
      <c r="F9" s="57"/>
      <c r="G9" s="57"/>
      <c r="H9" s="57"/>
      <c r="I9" s="57"/>
      <c r="J9" s="57"/>
      <c r="K9" s="57"/>
      <c r="L9" s="57"/>
      <c r="M9" s="57"/>
      <c r="N9" s="57"/>
      <c r="O9" s="57"/>
      <c r="P9" s="57"/>
      <c r="Q9" s="57"/>
      <c r="R9" s="57"/>
      <c r="S9" s="57"/>
      <c r="T9" s="57"/>
      <c r="U9" s="57"/>
      <c r="V9" s="57"/>
      <c r="W9" s="57"/>
      <c r="X9" s="57"/>
      <c r="Y9" s="57"/>
      <c r="Z9" s="57"/>
      <c r="AA9" s="57"/>
      <c r="AB9" s="57"/>
      <c r="AC9" s="57"/>
      <c r="AE9" s="86"/>
    </row>
    <row r="10" spans="2:31" ht="12.75">
      <c r="B10" s="410" t="str">
        <f>B2</f>
        <v>6.1.</v>
      </c>
      <c r="C10" s="414" t="str">
        <f>C2</f>
        <v>Celkové provozní náklady dopravců</v>
      </c>
      <c r="D10" s="416" t="str">
        <f>D2</f>
        <v>CZK</v>
      </c>
      <c r="E10" s="1363">
        <f>AC2+1</f>
        <v>2039</v>
      </c>
      <c r="F10" s="1363">
        <f aca="true" t="shared" si="4" ref="F10:S10">E10+1</f>
        <v>2040</v>
      </c>
      <c r="G10" s="1363">
        <f t="shared" si="4"/>
        <v>2041</v>
      </c>
      <c r="H10" s="1363">
        <f t="shared" si="4"/>
        <v>2042</v>
      </c>
      <c r="I10" s="1363">
        <f t="shared" si="4"/>
        <v>2043</v>
      </c>
      <c r="J10" s="1363">
        <f t="shared" si="4"/>
        <v>2044</v>
      </c>
      <c r="K10" s="1363">
        <f t="shared" si="4"/>
        <v>2045</v>
      </c>
      <c r="L10" s="1363">
        <f t="shared" si="4"/>
        <v>2046</v>
      </c>
      <c r="M10" s="1363">
        <f t="shared" si="4"/>
        <v>2047</v>
      </c>
      <c r="N10" s="1363">
        <f t="shared" si="4"/>
        <v>2048</v>
      </c>
      <c r="O10" s="1363">
        <f t="shared" si="4"/>
        <v>2049</v>
      </c>
      <c r="P10" s="1363">
        <f t="shared" si="4"/>
        <v>2050</v>
      </c>
      <c r="Q10" s="1363">
        <f t="shared" si="4"/>
        <v>2051</v>
      </c>
      <c r="R10" s="1363">
        <f t="shared" si="4"/>
        <v>2052</v>
      </c>
      <c r="S10" s="1363">
        <f t="shared" si="4"/>
        <v>2053</v>
      </c>
      <c r="T10" s="1363">
        <f aca="true" t="shared" si="5" ref="T10:AC10">S10+1</f>
        <v>2054</v>
      </c>
      <c r="U10" s="1363">
        <f t="shared" si="5"/>
        <v>2055</v>
      </c>
      <c r="V10" s="1363">
        <f t="shared" si="5"/>
        <v>2056</v>
      </c>
      <c r="W10" s="1363">
        <f t="shared" si="5"/>
        <v>2057</v>
      </c>
      <c r="X10" s="1363">
        <f t="shared" si="5"/>
        <v>2058</v>
      </c>
      <c r="Y10" s="1363">
        <f t="shared" si="5"/>
        <v>2059</v>
      </c>
      <c r="Z10" s="1363">
        <f t="shared" si="5"/>
        <v>2060</v>
      </c>
      <c r="AA10" s="1363">
        <f t="shared" si="5"/>
        <v>2061</v>
      </c>
      <c r="AB10" s="1363">
        <f t="shared" si="5"/>
        <v>2062</v>
      </c>
      <c r="AC10" s="1361">
        <f t="shared" si="5"/>
        <v>2063</v>
      </c>
      <c r="AE10" s="86"/>
    </row>
    <row r="11" spans="2:31" ht="13.5" thickBot="1">
      <c r="B11" s="411" t="s">
        <v>19</v>
      </c>
      <c r="C11" s="413" t="str">
        <f>C3</f>
        <v>Scénář s projektem</v>
      </c>
      <c r="D11" s="424"/>
      <c r="E11" s="1364"/>
      <c r="F11" s="1364"/>
      <c r="G11" s="1364"/>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2"/>
      <c r="AE11" s="86"/>
    </row>
    <row r="12" spans="2:31" ht="12">
      <c r="B12" s="585"/>
      <c r="C12" s="576" t="str">
        <f>$C$4</f>
        <v>Vodní doprava - zvýšení efektivity</v>
      </c>
      <c r="D12" s="577"/>
      <c r="E12" s="1164"/>
      <c r="F12" s="1164"/>
      <c r="G12" s="1164"/>
      <c r="H12" s="1164"/>
      <c r="I12" s="1164"/>
      <c r="J12" s="1164"/>
      <c r="K12" s="1164"/>
      <c r="L12" s="1164"/>
      <c r="M12" s="1164"/>
      <c r="N12" s="1164"/>
      <c r="O12" s="1164"/>
      <c r="P12" s="1164"/>
      <c r="Q12" s="1164"/>
      <c r="R12" s="1164"/>
      <c r="S12" s="1164"/>
      <c r="T12" s="1164"/>
      <c r="U12" s="1164"/>
      <c r="V12" s="1164"/>
      <c r="W12" s="1164"/>
      <c r="X12" s="1164"/>
      <c r="Y12" s="1164"/>
      <c r="Z12" s="1164"/>
      <c r="AA12" s="1164"/>
      <c r="AB12" s="1164"/>
      <c r="AC12" s="1165"/>
      <c r="AE12" s="86"/>
    </row>
    <row r="13" spans="2:31" ht="12">
      <c r="B13" s="586"/>
      <c r="C13" s="576" t="str">
        <f>$C$5</f>
        <v>Silniční doprava</v>
      </c>
      <c r="D13" s="580"/>
      <c r="E13" s="1166"/>
      <c r="F13" s="1166"/>
      <c r="G13" s="1166"/>
      <c r="H13" s="1166"/>
      <c r="I13" s="1166"/>
      <c r="J13" s="1166"/>
      <c r="K13" s="1166"/>
      <c r="L13" s="1166"/>
      <c r="M13" s="1166"/>
      <c r="N13" s="1166"/>
      <c r="O13" s="1166"/>
      <c r="P13" s="1166"/>
      <c r="Q13" s="1166"/>
      <c r="R13" s="1166"/>
      <c r="S13" s="1166"/>
      <c r="T13" s="1166"/>
      <c r="U13" s="1166"/>
      <c r="V13" s="1166"/>
      <c r="W13" s="1166"/>
      <c r="X13" s="1166"/>
      <c r="Y13" s="1166"/>
      <c r="Z13" s="1166"/>
      <c r="AA13" s="1166"/>
      <c r="AB13" s="1166"/>
      <c r="AC13" s="1167"/>
      <c r="AE13" s="86"/>
    </row>
    <row r="14" spans="2:31" ht="12">
      <c r="B14" s="586"/>
      <c r="C14" s="576" t="str">
        <f>$C$6</f>
        <v>Železniční doprava</v>
      </c>
      <c r="D14" s="580"/>
      <c r="E14" s="1166"/>
      <c r="F14" s="1166"/>
      <c r="G14" s="1166"/>
      <c r="H14" s="1166"/>
      <c r="I14" s="1166"/>
      <c r="J14" s="1166"/>
      <c r="K14" s="1166"/>
      <c r="L14" s="1166"/>
      <c r="M14" s="1166"/>
      <c r="N14" s="1166"/>
      <c r="O14" s="1166"/>
      <c r="P14" s="1166"/>
      <c r="Q14" s="1166"/>
      <c r="R14" s="1166"/>
      <c r="S14" s="1166"/>
      <c r="T14" s="1166"/>
      <c r="U14" s="1166"/>
      <c r="V14" s="1166"/>
      <c r="W14" s="1166"/>
      <c r="X14" s="1166"/>
      <c r="Y14" s="1166"/>
      <c r="Z14" s="1166"/>
      <c r="AA14" s="1166"/>
      <c r="AB14" s="1166"/>
      <c r="AC14" s="1167"/>
      <c r="AE14" s="86"/>
    </row>
    <row r="15" spans="2:31" ht="12">
      <c r="B15" s="587"/>
      <c r="C15" s="581" t="str">
        <f>$C$7</f>
        <v>Indukovaná říční doprava</v>
      </c>
      <c r="D15" s="582"/>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9"/>
      <c r="AE15" s="86"/>
    </row>
    <row r="16" spans="2:31" ht="12.75" thickBot="1">
      <c r="B16" s="588"/>
      <c r="C16" s="583" t="str">
        <f>C8</f>
        <v>Celkové provozní náklady přepravců</v>
      </c>
      <c r="D16" s="584"/>
      <c r="E16" s="461">
        <f aca="true" t="shared" si="6" ref="E16:S16">SUM(E12:E15)</f>
        <v>0</v>
      </c>
      <c r="F16" s="461">
        <f t="shared" si="6"/>
        <v>0</v>
      </c>
      <c r="G16" s="461">
        <f t="shared" si="6"/>
        <v>0</v>
      </c>
      <c r="H16" s="461">
        <f t="shared" si="6"/>
        <v>0</v>
      </c>
      <c r="I16" s="461">
        <f t="shared" si="6"/>
        <v>0</v>
      </c>
      <c r="J16" s="461">
        <f t="shared" si="6"/>
        <v>0</v>
      </c>
      <c r="K16" s="461">
        <f t="shared" si="6"/>
        <v>0</v>
      </c>
      <c r="L16" s="461">
        <f t="shared" si="6"/>
        <v>0</v>
      </c>
      <c r="M16" s="461">
        <f t="shared" si="6"/>
        <v>0</v>
      </c>
      <c r="N16" s="461">
        <f t="shared" si="6"/>
        <v>0</v>
      </c>
      <c r="O16" s="461">
        <f t="shared" si="6"/>
        <v>0</v>
      </c>
      <c r="P16" s="461">
        <f t="shared" si="6"/>
        <v>0</v>
      </c>
      <c r="Q16" s="461">
        <f t="shared" si="6"/>
        <v>0</v>
      </c>
      <c r="R16" s="461">
        <f t="shared" si="6"/>
        <v>0</v>
      </c>
      <c r="S16" s="461">
        <f t="shared" si="6"/>
        <v>0</v>
      </c>
      <c r="T16" s="461">
        <f aca="true" t="shared" si="7" ref="T16:AC16">SUM(T12:T15)</f>
        <v>0</v>
      </c>
      <c r="U16" s="461">
        <f t="shared" si="7"/>
        <v>0</v>
      </c>
      <c r="V16" s="461">
        <f t="shared" si="7"/>
        <v>0</v>
      </c>
      <c r="W16" s="461">
        <f t="shared" si="7"/>
        <v>0</v>
      </c>
      <c r="X16" s="461">
        <f t="shared" si="7"/>
        <v>0</v>
      </c>
      <c r="Y16" s="461">
        <f t="shared" si="7"/>
        <v>0</v>
      </c>
      <c r="Z16" s="461">
        <f t="shared" si="7"/>
        <v>0</v>
      </c>
      <c r="AA16" s="461">
        <f t="shared" si="7"/>
        <v>0</v>
      </c>
      <c r="AB16" s="461">
        <f t="shared" si="7"/>
        <v>0</v>
      </c>
      <c r="AC16" s="462">
        <f t="shared" si="7"/>
        <v>0</v>
      </c>
      <c r="AE16" s="86"/>
    </row>
    <row r="17" spans="2:31" ht="12">
      <c r="B17" s="46"/>
      <c r="C17" s="45"/>
      <c r="D17" s="5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E17" s="86"/>
    </row>
    <row r="18" spans="2:31" ht="12" thickBot="1">
      <c r="B18" s="56"/>
      <c r="C18" s="74"/>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E18" s="86"/>
    </row>
    <row r="19" spans="2:31" ht="12.75">
      <c r="B19" s="410" t="s">
        <v>33</v>
      </c>
      <c r="C19" s="414" t="str">
        <f>C2</f>
        <v>Celkové provozní náklady dopravců</v>
      </c>
      <c r="D19" s="416" t="s">
        <v>134</v>
      </c>
      <c r="E19" s="1392">
        <f>E2</f>
        <v>2014</v>
      </c>
      <c r="F19" s="1363">
        <f aca="true" t="shared" si="8" ref="F19:S19">E19+1</f>
        <v>2015</v>
      </c>
      <c r="G19" s="1363">
        <f t="shared" si="8"/>
        <v>2016</v>
      </c>
      <c r="H19" s="1363">
        <f t="shared" si="8"/>
        <v>2017</v>
      </c>
      <c r="I19" s="1363">
        <f t="shared" si="8"/>
        <v>2018</v>
      </c>
      <c r="J19" s="1363">
        <f t="shared" si="8"/>
        <v>2019</v>
      </c>
      <c r="K19" s="1363">
        <f t="shared" si="8"/>
        <v>2020</v>
      </c>
      <c r="L19" s="1363">
        <f t="shared" si="8"/>
        <v>2021</v>
      </c>
      <c r="M19" s="1363">
        <f t="shared" si="8"/>
        <v>2022</v>
      </c>
      <c r="N19" s="1363">
        <f t="shared" si="8"/>
        <v>2023</v>
      </c>
      <c r="O19" s="1363">
        <f t="shared" si="8"/>
        <v>2024</v>
      </c>
      <c r="P19" s="1363">
        <f t="shared" si="8"/>
        <v>2025</v>
      </c>
      <c r="Q19" s="1363">
        <f t="shared" si="8"/>
        <v>2026</v>
      </c>
      <c r="R19" s="1363">
        <f t="shared" si="8"/>
        <v>2027</v>
      </c>
      <c r="S19" s="1363">
        <f t="shared" si="8"/>
        <v>2028</v>
      </c>
      <c r="T19" s="1363">
        <f aca="true" t="shared" si="9" ref="T19:AC19">S19+1</f>
        <v>2029</v>
      </c>
      <c r="U19" s="1363">
        <f t="shared" si="9"/>
        <v>2030</v>
      </c>
      <c r="V19" s="1363">
        <f t="shared" si="9"/>
        <v>2031</v>
      </c>
      <c r="W19" s="1363">
        <f t="shared" si="9"/>
        <v>2032</v>
      </c>
      <c r="X19" s="1363">
        <f t="shared" si="9"/>
        <v>2033</v>
      </c>
      <c r="Y19" s="1363">
        <f t="shared" si="9"/>
        <v>2034</v>
      </c>
      <c r="Z19" s="1363">
        <f t="shared" si="9"/>
        <v>2035</v>
      </c>
      <c r="AA19" s="1363">
        <f t="shared" si="9"/>
        <v>2036</v>
      </c>
      <c r="AB19" s="1363">
        <f t="shared" si="9"/>
        <v>2037</v>
      </c>
      <c r="AC19" s="1361">
        <f t="shared" si="9"/>
        <v>2038</v>
      </c>
      <c r="AE19" s="86"/>
    </row>
    <row r="20" spans="2:31" ht="13.5" thickBot="1">
      <c r="B20" s="411" t="s">
        <v>17</v>
      </c>
      <c r="C20" s="412" t="str">
        <f>IF('0 Úvod'!$M$3="English",Slovnik!D182,Slovnik!C182)</f>
        <v>Scénář bez projektu</v>
      </c>
      <c r="D20" s="417" t="str">
        <f>D3</f>
        <v>Celkem</v>
      </c>
      <c r="E20" s="1393"/>
      <c r="F20" s="1364"/>
      <c r="G20" s="1364"/>
      <c r="H20" s="1364"/>
      <c r="I20" s="1364"/>
      <c r="J20" s="1364"/>
      <c r="K20" s="1364"/>
      <c r="L20" s="1364"/>
      <c r="M20" s="1364"/>
      <c r="N20" s="1364"/>
      <c r="O20" s="1364"/>
      <c r="P20" s="1364"/>
      <c r="Q20" s="1364"/>
      <c r="R20" s="1364"/>
      <c r="S20" s="1364"/>
      <c r="T20" s="1364"/>
      <c r="U20" s="1364"/>
      <c r="V20" s="1364"/>
      <c r="W20" s="1364"/>
      <c r="X20" s="1364"/>
      <c r="Y20" s="1364"/>
      <c r="Z20" s="1364"/>
      <c r="AA20" s="1364"/>
      <c r="AB20" s="1364"/>
      <c r="AC20" s="1362"/>
      <c r="AE20" s="86"/>
    </row>
    <row r="21" spans="2:31" ht="12">
      <c r="B21" s="585"/>
      <c r="C21" s="571" t="str">
        <f>$C$4</f>
        <v>Vodní doprava - zvýšení efektivity</v>
      </c>
      <c r="D21" s="418">
        <f>SUM(E21:AC21,E29:AC29)</f>
        <v>0</v>
      </c>
      <c r="E21" s="1164"/>
      <c r="F21" s="1164"/>
      <c r="G21" s="1164"/>
      <c r="H21" s="1164"/>
      <c r="I21" s="1164"/>
      <c r="J21" s="1164"/>
      <c r="K21" s="1164"/>
      <c r="L21" s="1164"/>
      <c r="M21" s="1164"/>
      <c r="N21" s="1164"/>
      <c r="O21" s="1164"/>
      <c r="P21" s="1164"/>
      <c r="Q21" s="1164"/>
      <c r="R21" s="1164"/>
      <c r="S21" s="1164"/>
      <c r="T21" s="1164"/>
      <c r="U21" s="1164"/>
      <c r="V21" s="1164"/>
      <c r="W21" s="1164"/>
      <c r="X21" s="1164"/>
      <c r="Y21" s="1164"/>
      <c r="Z21" s="1164"/>
      <c r="AA21" s="1164"/>
      <c r="AB21" s="1164"/>
      <c r="AC21" s="1165"/>
      <c r="AE21" s="86"/>
    </row>
    <row r="22" spans="2:31" ht="12">
      <c r="B22" s="586"/>
      <c r="C22" s="571" t="str">
        <f>$C$5</f>
        <v>Silniční doprava</v>
      </c>
      <c r="D22" s="418">
        <f>SUM(E22:AC22,E30:AC30)</f>
        <v>0</v>
      </c>
      <c r="E22" s="1166"/>
      <c r="F22" s="1166"/>
      <c r="G22" s="1166"/>
      <c r="H22" s="1166"/>
      <c r="I22" s="1166"/>
      <c r="J22" s="1166"/>
      <c r="K22" s="1166"/>
      <c r="L22" s="1166"/>
      <c r="M22" s="1166"/>
      <c r="N22" s="1166"/>
      <c r="O22" s="1166"/>
      <c r="P22" s="1166"/>
      <c r="Q22" s="1166"/>
      <c r="R22" s="1166"/>
      <c r="S22" s="1166"/>
      <c r="T22" s="1166"/>
      <c r="U22" s="1166"/>
      <c r="V22" s="1166"/>
      <c r="W22" s="1166"/>
      <c r="X22" s="1166"/>
      <c r="Y22" s="1166"/>
      <c r="Z22" s="1166"/>
      <c r="AA22" s="1166"/>
      <c r="AB22" s="1166"/>
      <c r="AC22" s="1167"/>
      <c r="AE22" s="86"/>
    </row>
    <row r="23" spans="2:31" ht="12">
      <c r="B23" s="586"/>
      <c r="C23" s="571" t="str">
        <f>$C$6</f>
        <v>Železniční doprava</v>
      </c>
      <c r="D23" s="418">
        <f>SUM(E23:AC23,E31:AC31)</f>
        <v>0</v>
      </c>
      <c r="E23" s="1166"/>
      <c r="F23" s="1166"/>
      <c r="G23" s="1166"/>
      <c r="H23" s="1166"/>
      <c r="I23" s="1166"/>
      <c r="J23" s="1166"/>
      <c r="K23" s="1166"/>
      <c r="L23" s="1166"/>
      <c r="M23" s="1166"/>
      <c r="N23" s="1166"/>
      <c r="O23" s="1166"/>
      <c r="P23" s="1166"/>
      <c r="Q23" s="1166"/>
      <c r="R23" s="1166"/>
      <c r="S23" s="1166"/>
      <c r="T23" s="1166"/>
      <c r="U23" s="1166"/>
      <c r="V23" s="1166"/>
      <c r="W23" s="1166"/>
      <c r="X23" s="1166"/>
      <c r="Y23" s="1166"/>
      <c r="Z23" s="1166"/>
      <c r="AA23" s="1166"/>
      <c r="AB23" s="1166"/>
      <c r="AC23" s="1167"/>
      <c r="AE23" s="86"/>
    </row>
    <row r="24" spans="2:31" ht="12" customHeight="1">
      <c r="B24" s="587"/>
      <c r="C24" s="573" t="str">
        <f>$C$7</f>
        <v>Indukovaná říční doprava</v>
      </c>
      <c r="D24" s="419">
        <f>SUM(E24:AC24,E32:AC32)</f>
        <v>0</v>
      </c>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9"/>
      <c r="AE24" s="86"/>
    </row>
    <row r="25" spans="2:31" ht="12.75" thickBot="1">
      <c r="B25" s="588"/>
      <c r="C25" s="575" t="str">
        <f>C8</f>
        <v>Celkové provozní náklady přepravců</v>
      </c>
      <c r="D25" s="427">
        <f>SUM(E25:AC25,E33:AC33)</f>
        <v>0</v>
      </c>
      <c r="E25" s="461">
        <f aca="true" t="shared" si="10" ref="E25:S25">SUM(E21:E24)</f>
        <v>0</v>
      </c>
      <c r="F25" s="461">
        <f t="shared" si="10"/>
        <v>0</v>
      </c>
      <c r="G25" s="461">
        <f t="shared" si="10"/>
        <v>0</v>
      </c>
      <c r="H25" s="461">
        <f t="shared" si="10"/>
        <v>0</v>
      </c>
      <c r="I25" s="461">
        <f t="shared" si="10"/>
        <v>0</v>
      </c>
      <c r="J25" s="461">
        <f t="shared" si="10"/>
        <v>0</v>
      </c>
      <c r="K25" s="461">
        <f t="shared" si="10"/>
        <v>0</v>
      </c>
      <c r="L25" s="461">
        <f t="shared" si="10"/>
        <v>0</v>
      </c>
      <c r="M25" s="461">
        <f t="shared" si="10"/>
        <v>0</v>
      </c>
      <c r="N25" s="461">
        <f t="shared" si="10"/>
        <v>0</v>
      </c>
      <c r="O25" s="461">
        <f t="shared" si="10"/>
        <v>0</v>
      </c>
      <c r="P25" s="461">
        <f t="shared" si="10"/>
        <v>0</v>
      </c>
      <c r="Q25" s="461">
        <f t="shared" si="10"/>
        <v>0</v>
      </c>
      <c r="R25" s="461">
        <f t="shared" si="10"/>
        <v>0</v>
      </c>
      <c r="S25" s="461">
        <f t="shared" si="10"/>
        <v>0</v>
      </c>
      <c r="T25" s="461">
        <f aca="true" t="shared" si="11" ref="T25:AC25">SUM(T21:T24)</f>
        <v>0</v>
      </c>
      <c r="U25" s="461">
        <f t="shared" si="11"/>
        <v>0</v>
      </c>
      <c r="V25" s="461">
        <f t="shared" si="11"/>
        <v>0</v>
      </c>
      <c r="W25" s="461">
        <f t="shared" si="11"/>
        <v>0</v>
      </c>
      <c r="X25" s="461">
        <f t="shared" si="11"/>
        <v>0</v>
      </c>
      <c r="Y25" s="461">
        <f t="shared" si="11"/>
        <v>0</v>
      </c>
      <c r="Z25" s="461">
        <f t="shared" si="11"/>
        <v>0</v>
      </c>
      <c r="AA25" s="461">
        <f t="shared" si="11"/>
        <v>0</v>
      </c>
      <c r="AB25" s="461">
        <f t="shared" si="11"/>
        <v>0</v>
      </c>
      <c r="AC25" s="462">
        <f t="shared" si="11"/>
        <v>0</v>
      </c>
      <c r="AE25" s="89" t="s">
        <v>5</v>
      </c>
    </row>
    <row r="26" spans="2:31" ht="12" thickBot="1">
      <c r="B26" s="56"/>
      <c r="C26" s="56"/>
      <c r="D26" s="64"/>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E26" s="86"/>
    </row>
    <row r="27" spans="2:31" ht="12.75">
      <c r="B27" s="410" t="str">
        <f>B19</f>
        <v>6.2.</v>
      </c>
      <c r="C27" s="414" t="str">
        <f>C19</f>
        <v>Celkové provozní náklady dopravců</v>
      </c>
      <c r="D27" s="416" t="str">
        <f>D19</f>
        <v>CZK</v>
      </c>
      <c r="E27" s="1363">
        <f>AC19+1</f>
        <v>2039</v>
      </c>
      <c r="F27" s="1363">
        <f aca="true" t="shared" si="12" ref="F27:S27">E27+1</f>
        <v>2040</v>
      </c>
      <c r="G27" s="1363">
        <f t="shared" si="12"/>
        <v>2041</v>
      </c>
      <c r="H27" s="1363">
        <f t="shared" si="12"/>
        <v>2042</v>
      </c>
      <c r="I27" s="1363">
        <f t="shared" si="12"/>
        <v>2043</v>
      </c>
      <c r="J27" s="1363">
        <f t="shared" si="12"/>
        <v>2044</v>
      </c>
      <c r="K27" s="1363">
        <f t="shared" si="12"/>
        <v>2045</v>
      </c>
      <c r="L27" s="1363">
        <f t="shared" si="12"/>
        <v>2046</v>
      </c>
      <c r="M27" s="1363">
        <f t="shared" si="12"/>
        <v>2047</v>
      </c>
      <c r="N27" s="1363">
        <f t="shared" si="12"/>
        <v>2048</v>
      </c>
      <c r="O27" s="1363">
        <f t="shared" si="12"/>
        <v>2049</v>
      </c>
      <c r="P27" s="1363">
        <f t="shared" si="12"/>
        <v>2050</v>
      </c>
      <c r="Q27" s="1363">
        <f t="shared" si="12"/>
        <v>2051</v>
      </c>
      <c r="R27" s="1363">
        <f t="shared" si="12"/>
        <v>2052</v>
      </c>
      <c r="S27" s="1363">
        <f t="shared" si="12"/>
        <v>2053</v>
      </c>
      <c r="T27" s="1363">
        <f aca="true" t="shared" si="13" ref="T27:AC27">S27+1</f>
        <v>2054</v>
      </c>
      <c r="U27" s="1363">
        <f t="shared" si="13"/>
        <v>2055</v>
      </c>
      <c r="V27" s="1363">
        <f t="shared" si="13"/>
        <v>2056</v>
      </c>
      <c r="W27" s="1363">
        <f t="shared" si="13"/>
        <v>2057</v>
      </c>
      <c r="X27" s="1363">
        <f t="shared" si="13"/>
        <v>2058</v>
      </c>
      <c r="Y27" s="1363">
        <f t="shared" si="13"/>
        <v>2059</v>
      </c>
      <c r="Z27" s="1363">
        <f t="shared" si="13"/>
        <v>2060</v>
      </c>
      <c r="AA27" s="1363">
        <f t="shared" si="13"/>
        <v>2061</v>
      </c>
      <c r="AB27" s="1363">
        <f t="shared" si="13"/>
        <v>2062</v>
      </c>
      <c r="AC27" s="1361">
        <f t="shared" si="13"/>
        <v>2063</v>
      </c>
      <c r="AE27" s="86"/>
    </row>
    <row r="28" spans="2:31" ht="13.5" thickBot="1">
      <c r="B28" s="411" t="s">
        <v>19</v>
      </c>
      <c r="C28" s="413" t="str">
        <f>C20</f>
        <v>Scénář bez projektu</v>
      </c>
      <c r="D28" s="424"/>
      <c r="E28" s="1364"/>
      <c r="F28" s="1364"/>
      <c r="G28" s="1364"/>
      <c r="H28" s="1364"/>
      <c r="I28" s="1364"/>
      <c r="J28" s="1364"/>
      <c r="K28" s="1364"/>
      <c r="L28" s="1364"/>
      <c r="M28" s="1364"/>
      <c r="N28" s="1364"/>
      <c r="O28" s="1364"/>
      <c r="P28" s="1364"/>
      <c r="Q28" s="1364"/>
      <c r="R28" s="1364"/>
      <c r="S28" s="1364"/>
      <c r="T28" s="1364"/>
      <c r="U28" s="1364"/>
      <c r="V28" s="1364"/>
      <c r="W28" s="1364"/>
      <c r="X28" s="1364"/>
      <c r="Y28" s="1364"/>
      <c r="Z28" s="1364"/>
      <c r="AA28" s="1364"/>
      <c r="AB28" s="1364"/>
      <c r="AC28" s="1362"/>
      <c r="AE28" s="86"/>
    </row>
    <row r="29" spans="2:31" ht="12">
      <c r="B29" s="585"/>
      <c r="C29" s="576" t="str">
        <f>$C$4</f>
        <v>Vodní doprava - zvýšení efektivity</v>
      </c>
      <c r="D29" s="577"/>
      <c r="E29" s="1164"/>
      <c r="F29" s="1164"/>
      <c r="G29" s="1164"/>
      <c r="H29" s="1164"/>
      <c r="I29" s="1164"/>
      <c r="J29" s="1164"/>
      <c r="K29" s="1164"/>
      <c r="L29" s="1164"/>
      <c r="M29" s="1164"/>
      <c r="N29" s="1164"/>
      <c r="O29" s="1164"/>
      <c r="P29" s="1164"/>
      <c r="Q29" s="1164"/>
      <c r="R29" s="1164"/>
      <c r="S29" s="1164"/>
      <c r="T29" s="1164"/>
      <c r="U29" s="1164"/>
      <c r="V29" s="1164"/>
      <c r="W29" s="1164"/>
      <c r="X29" s="1164"/>
      <c r="Y29" s="1164"/>
      <c r="Z29" s="1164"/>
      <c r="AA29" s="1164"/>
      <c r="AB29" s="1164"/>
      <c r="AC29" s="1165"/>
      <c r="AE29" s="86"/>
    </row>
    <row r="30" spans="2:31" ht="12">
      <c r="B30" s="586"/>
      <c r="C30" s="576" t="str">
        <f>$C$5</f>
        <v>Silniční doprava</v>
      </c>
      <c r="D30" s="580"/>
      <c r="E30" s="1166"/>
      <c r="F30" s="1166"/>
      <c r="G30" s="1166"/>
      <c r="H30" s="1166"/>
      <c r="I30" s="1166"/>
      <c r="J30" s="1166"/>
      <c r="K30" s="1166"/>
      <c r="L30" s="1166"/>
      <c r="M30" s="1166"/>
      <c r="N30" s="1166"/>
      <c r="O30" s="1166"/>
      <c r="P30" s="1166"/>
      <c r="Q30" s="1166"/>
      <c r="R30" s="1166"/>
      <c r="S30" s="1166"/>
      <c r="T30" s="1166"/>
      <c r="U30" s="1166"/>
      <c r="V30" s="1166"/>
      <c r="W30" s="1166"/>
      <c r="X30" s="1166"/>
      <c r="Y30" s="1166"/>
      <c r="Z30" s="1166"/>
      <c r="AA30" s="1166"/>
      <c r="AB30" s="1166"/>
      <c r="AC30" s="1167"/>
      <c r="AE30" s="86"/>
    </row>
    <row r="31" spans="2:31" ht="12">
      <c r="B31" s="586"/>
      <c r="C31" s="576" t="str">
        <f>$C$6</f>
        <v>Železniční doprava</v>
      </c>
      <c r="D31" s="580"/>
      <c r="E31" s="1166"/>
      <c r="F31" s="1166"/>
      <c r="G31" s="1166"/>
      <c r="H31" s="1166"/>
      <c r="I31" s="1166"/>
      <c r="J31" s="1166"/>
      <c r="K31" s="1166"/>
      <c r="L31" s="1166"/>
      <c r="M31" s="1166"/>
      <c r="N31" s="1166"/>
      <c r="O31" s="1166"/>
      <c r="P31" s="1166"/>
      <c r="Q31" s="1166"/>
      <c r="R31" s="1166"/>
      <c r="S31" s="1166"/>
      <c r="T31" s="1166"/>
      <c r="U31" s="1166"/>
      <c r="V31" s="1166"/>
      <c r="W31" s="1166"/>
      <c r="X31" s="1166"/>
      <c r="Y31" s="1166"/>
      <c r="Z31" s="1166"/>
      <c r="AA31" s="1166"/>
      <c r="AB31" s="1166"/>
      <c r="AC31" s="1167"/>
      <c r="AE31" s="86"/>
    </row>
    <row r="32" spans="2:31" ht="12">
      <c r="B32" s="587"/>
      <c r="C32" s="581" t="str">
        <f>$C$7</f>
        <v>Indukovaná říční doprava</v>
      </c>
      <c r="D32" s="582"/>
      <c r="E32" s="1168"/>
      <c r="F32" s="1168"/>
      <c r="G32" s="1168"/>
      <c r="H32" s="1168"/>
      <c r="I32" s="1168"/>
      <c r="J32" s="1168"/>
      <c r="K32" s="1168"/>
      <c r="L32" s="1168"/>
      <c r="M32" s="1168"/>
      <c r="N32" s="1168"/>
      <c r="O32" s="1168"/>
      <c r="P32" s="1168"/>
      <c r="Q32" s="1168"/>
      <c r="R32" s="1168"/>
      <c r="S32" s="1168"/>
      <c r="T32" s="1168"/>
      <c r="U32" s="1168"/>
      <c r="V32" s="1168"/>
      <c r="W32" s="1168"/>
      <c r="X32" s="1168"/>
      <c r="Y32" s="1168"/>
      <c r="Z32" s="1168"/>
      <c r="AA32" s="1168"/>
      <c r="AB32" s="1168"/>
      <c r="AC32" s="1169"/>
      <c r="AE32" s="86"/>
    </row>
    <row r="33" spans="2:31" ht="12.75" thickBot="1">
      <c r="B33" s="588"/>
      <c r="C33" s="583" t="str">
        <f>C8</f>
        <v>Celkové provozní náklady přepravců</v>
      </c>
      <c r="D33" s="584"/>
      <c r="E33" s="461">
        <f aca="true" t="shared" si="14" ref="E33:S33">SUM(E29:E32)</f>
        <v>0</v>
      </c>
      <c r="F33" s="461">
        <f t="shared" si="14"/>
        <v>0</v>
      </c>
      <c r="G33" s="461">
        <f t="shared" si="14"/>
        <v>0</v>
      </c>
      <c r="H33" s="461">
        <f t="shared" si="14"/>
        <v>0</v>
      </c>
      <c r="I33" s="461">
        <f t="shared" si="14"/>
        <v>0</v>
      </c>
      <c r="J33" s="461">
        <f t="shared" si="14"/>
        <v>0</v>
      </c>
      <c r="K33" s="461">
        <f t="shared" si="14"/>
        <v>0</v>
      </c>
      <c r="L33" s="461">
        <f t="shared" si="14"/>
        <v>0</v>
      </c>
      <c r="M33" s="461">
        <f t="shared" si="14"/>
        <v>0</v>
      </c>
      <c r="N33" s="461">
        <f t="shared" si="14"/>
        <v>0</v>
      </c>
      <c r="O33" s="461">
        <f t="shared" si="14"/>
        <v>0</v>
      </c>
      <c r="P33" s="461">
        <f t="shared" si="14"/>
        <v>0</v>
      </c>
      <c r="Q33" s="461">
        <f t="shared" si="14"/>
        <v>0</v>
      </c>
      <c r="R33" s="461">
        <f t="shared" si="14"/>
        <v>0</v>
      </c>
      <c r="S33" s="461">
        <f t="shared" si="14"/>
        <v>0</v>
      </c>
      <c r="T33" s="461">
        <f aca="true" t="shared" si="15" ref="T33:AC33">SUM(T29:T32)</f>
        <v>0</v>
      </c>
      <c r="U33" s="461">
        <f t="shared" si="15"/>
        <v>0</v>
      </c>
      <c r="V33" s="461">
        <f t="shared" si="15"/>
        <v>0</v>
      </c>
      <c r="W33" s="461">
        <f t="shared" si="15"/>
        <v>0</v>
      </c>
      <c r="X33" s="461">
        <f t="shared" si="15"/>
        <v>0</v>
      </c>
      <c r="Y33" s="461">
        <f t="shared" si="15"/>
        <v>0</v>
      </c>
      <c r="Z33" s="461">
        <f t="shared" si="15"/>
        <v>0</v>
      </c>
      <c r="AA33" s="461">
        <f t="shared" si="15"/>
        <v>0</v>
      </c>
      <c r="AB33" s="461">
        <f t="shared" si="15"/>
        <v>0</v>
      </c>
      <c r="AC33" s="462">
        <f t="shared" si="15"/>
        <v>0</v>
      </c>
      <c r="AE33" s="86"/>
    </row>
    <row r="34" spans="2:31" ht="12">
      <c r="B34" s="90"/>
      <c r="C34" s="91"/>
      <c r="D34" s="5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E34" s="86"/>
    </row>
    <row r="35" spans="2:31" ht="12" thickBot="1">
      <c r="B35" s="56"/>
      <c r="C35" s="74"/>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E35" s="86"/>
    </row>
    <row r="36" spans="2:31" ht="12.75" customHeight="1">
      <c r="B36" s="410" t="s">
        <v>34</v>
      </c>
      <c r="C36" s="414" t="str">
        <f>IF('0 Úvod'!$M$3="English",Slovnik!D184,Slovnik!C184)</f>
        <v>Celkové úspory provozních nákladů dopravců</v>
      </c>
      <c r="D36" s="416" t="s">
        <v>134</v>
      </c>
      <c r="E36" s="1363">
        <f>E2</f>
        <v>2014</v>
      </c>
      <c r="F36" s="1363">
        <f aca="true" t="shared" si="16" ref="F36:S36">E36+1</f>
        <v>2015</v>
      </c>
      <c r="G36" s="1363">
        <f t="shared" si="16"/>
        <v>2016</v>
      </c>
      <c r="H36" s="1363">
        <f t="shared" si="16"/>
        <v>2017</v>
      </c>
      <c r="I36" s="1363">
        <f t="shared" si="16"/>
        <v>2018</v>
      </c>
      <c r="J36" s="1363">
        <f t="shared" si="16"/>
        <v>2019</v>
      </c>
      <c r="K36" s="1363">
        <f t="shared" si="16"/>
        <v>2020</v>
      </c>
      <c r="L36" s="1363">
        <f t="shared" si="16"/>
        <v>2021</v>
      </c>
      <c r="M36" s="1363">
        <f t="shared" si="16"/>
        <v>2022</v>
      </c>
      <c r="N36" s="1363">
        <f t="shared" si="16"/>
        <v>2023</v>
      </c>
      <c r="O36" s="1363">
        <f t="shared" si="16"/>
        <v>2024</v>
      </c>
      <c r="P36" s="1363">
        <f t="shared" si="16"/>
        <v>2025</v>
      </c>
      <c r="Q36" s="1363">
        <f t="shared" si="16"/>
        <v>2026</v>
      </c>
      <c r="R36" s="1363">
        <f t="shared" si="16"/>
        <v>2027</v>
      </c>
      <c r="S36" s="1363">
        <f t="shared" si="16"/>
        <v>2028</v>
      </c>
      <c r="T36" s="1363">
        <f aca="true" t="shared" si="17" ref="T36:AC36">S36+1</f>
        <v>2029</v>
      </c>
      <c r="U36" s="1363">
        <f t="shared" si="17"/>
        <v>2030</v>
      </c>
      <c r="V36" s="1363">
        <f t="shared" si="17"/>
        <v>2031</v>
      </c>
      <c r="W36" s="1363">
        <f t="shared" si="17"/>
        <v>2032</v>
      </c>
      <c r="X36" s="1363">
        <f t="shared" si="17"/>
        <v>2033</v>
      </c>
      <c r="Y36" s="1363">
        <f t="shared" si="17"/>
        <v>2034</v>
      </c>
      <c r="Z36" s="1363">
        <f t="shared" si="17"/>
        <v>2035</v>
      </c>
      <c r="AA36" s="1363">
        <f t="shared" si="17"/>
        <v>2036</v>
      </c>
      <c r="AB36" s="1363">
        <f t="shared" si="17"/>
        <v>2037</v>
      </c>
      <c r="AC36" s="1361">
        <f t="shared" si="17"/>
        <v>2038</v>
      </c>
      <c r="AE36" s="86"/>
    </row>
    <row r="37" spans="2:31" ht="12.75" customHeight="1" thickBot="1">
      <c r="B37" s="411" t="s">
        <v>17</v>
      </c>
      <c r="C37" s="439" t="str">
        <f>IF('0 Úvod'!$M$3="English",Slovnik!D183,Slovnik!C183)</f>
        <v>Změna stavu s projektem a bez projektu</v>
      </c>
      <c r="D37" s="417" t="str">
        <f>D3</f>
        <v>Celkem</v>
      </c>
      <c r="E37" s="1364"/>
      <c r="F37" s="1364"/>
      <c r="G37" s="1364"/>
      <c r="H37" s="1364"/>
      <c r="I37" s="1364"/>
      <c r="J37" s="1364"/>
      <c r="K37" s="1364"/>
      <c r="L37" s="1364"/>
      <c r="M37" s="1364"/>
      <c r="N37" s="1364"/>
      <c r="O37" s="1364"/>
      <c r="P37" s="1364"/>
      <c r="Q37" s="1364"/>
      <c r="R37" s="1364"/>
      <c r="S37" s="1364"/>
      <c r="T37" s="1364"/>
      <c r="U37" s="1364"/>
      <c r="V37" s="1364"/>
      <c r="W37" s="1364"/>
      <c r="X37" s="1364"/>
      <c r="Y37" s="1364"/>
      <c r="Z37" s="1364"/>
      <c r="AA37" s="1364"/>
      <c r="AB37" s="1364"/>
      <c r="AC37" s="1362"/>
      <c r="AE37" s="86"/>
    </row>
    <row r="38" spans="2:31" ht="12">
      <c r="B38" s="589"/>
      <c r="C38" s="571" t="str">
        <f>C29</f>
        <v>Vodní doprava - zvýšení efektivity</v>
      </c>
      <c r="D38" s="418">
        <f>SUM(E38:AC38,E47:AC47)</f>
        <v>0</v>
      </c>
      <c r="E38" s="67">
        <f>E4-E21</f>
        <v>0</v>
      </c>
      <c r="F38" s="67">
        <f aca="true" t="shared" si="18" ref="F38:AC41">F4-F21</f>
        <v>0</v>
      </c>
      <c r="G38" s="67">
        <f t="shared" si="18"/>
        <v>0</v>
      </c>
      <c r="H38" s="67">
        <f t="shared" si="18"/>
        <v>0</v>
      </c>
      <c r="I38" s="67">
        <f t="shared" si="18"/>
        <v>0</v>
      </c>
      <c r="J38" s="67">
        <f t="shared" si="18"/>
        <v>0</v>
      </c>
      <c r="K38" s="67">
        <f t="shared" si="18"/>
        <v>0</v>
      </c>
      <c r="L38" s="67">
        <f t="shared" si="18"/>
        <v>0</v>
      </c>
      <c r="M38" s="67">
        <f t="shared" si="18"/>
        <v>0</v>
      </c>
      <c r="N38" s="67">
        <f t="shared" si="18"/>
        <v>0</v>
      </c>
      <c r="O38" s="67">
        <f t="shared" si="18"/>
        <v>0</v>
      </c>
      <c r="P38" s="67">
        <f t="shared" si="18"/>
        <v>0</v>
      </c>
      <c r="Q38" s="67">
        <f t="shared" si="18"/>
        <v>0</v>
      </c>
      <c r="R38" s="67">
        <f t="shared" si="18"/>
        <v>0</v>
      </c>
      <c r="S38" s="67">
        <f t="shared" si="18"/>
        <v>0</v>
      </c>
      <c r="T38" s="67">
        <f t="shared" si="18"/>
        <v>0</v>
      </c>
      <c r="U38" s="67">
        <f t="shared" si="18"/>
        <v>0</v>
      </c>
      <c r="V38" s="67">
        <f t="shared" si="18"/>
        <v>0</v>
      </c>
      <c r="W38" s="67">
        <f t="shared" si="18"/>
        <v>0</v>
      </c>
      <c r="X38" s="67">
        <f t="shared" si="18"/>
        <v>0</v>
      </c>
      <c r="Y38" s="67">
        <f t="shared" si="18"/>
        <v>0</v>
      </c>
      <c r="Z38" s="67">
        <f t="shared" si="18"/>
        <v>0</v>
      </c>
      <c r="AA38" s="67">
        <f t="shared" si="18"/>
        <v>0</v>
      </c>
      <c r="AB38" s="67">
        <f t="shared" si="18"/>
        <v>0</v>
      </c>
      <c r="AC38" s="463">
        <f t="shared" si="18"/>
        <v>0</v>
      </c>
      <c r="AE38" s="89" t="s">
        <v>6</v>
      </c>
    </row>
    <row r="39" spans="2:31" ht="12">
      <c r="B39" s="589"/>
      <c r="C39" s="571" t="str">
        <f>C30</f>
        <v>Silniční doprava</v>
      </c>
      <c r="D39" s="418">
        <f>SUM(E39:AC39,E48:AC48)</f>
        <v>0</v>
      </c>
      <c r="E39" s="67">
        <f>E5-E22</f>
        <v>0</v>
      </c>
      <c r="F39" s="67">
        <f aca="true" t="shared" si="19" ref="F39:T39">F5-F22</f>
        <v>0</v>
      </c>
      <c r="G39" s="67">
        <f t="shared" si="19"/>
        <v>0</v>
      </c>
      <c r="H39" s="67">
        <f t="shared" si="19"/>
        <v>0</v>
      </c>
      <c r="I39" s="67">
        <f t="shared" si="19"/>
        <v>0</v>
      </c>
      <c r="J39" s="67">
        <f t="shared" si="19"/>
        <v>0</v>
      </c>
      <c r="K39" s="67">
        <f t="shared" si="19"/>
        <v>0</v>
      </c>
      <c r="L39" s="67">
        <f t="shared" si="19"/>
        <v>0</v>
      </c>
      <c r="M39" s="67">
        <f t="shared" si="19"/>
        <v>0</v>
      </c>
      <c r="N39" s="67">
        <f t="shared" si="19"/>
        <v>0</v>
      </c>
      <c r="O39" s="67">
        <f t="shared" si="19"/>
        <v>0</v>
      </c>
      <c r="P39" s="67">
        <f t="shared" si="19"/>
        <v>0</v>
      </c>
      <c r="Q39" s="67">
        <f t="shared" si="19"/>
        <v>0</v>
      </c>
      <c r="R39" s="67">
        <f t="shared" si="19"/>
        <v>0</v>
      </c>
      <c r="S39" s="67">
        <f t="shared" si="19"/>
        <v>0</v>
      </c>
      <c r="T39" s="67">
        <f t="shared" si="19"/>
        <v>0</v>
      </c>
      <c r="U39" s="67">
        <f t="shared" si="18"/>
        <v>0</v>
      </c>
      <c r="V39" s="67">
        <f t="shared" si="18"/>
        <v>0</v>
      </c>
      <c r="W39" s="67">
        <f t="shared" si="18"/>
        <v>0</v>
      </c>
      <c r="X39" s="67">
        <f t="shared" si="18"/>
        <v>0</v>
      </c>
      <c r="Y39" s="67">
        <f t="shared" si="18"/>
        <v>0</v>
      </c>
      <c r="Z39" s="67">
        <f t="shared" si="18"/>
        <v>0</v>
      </c>
      <c r="AA39" s="67">
        <f t="shared" si="18"/>
        <v>0</v>
      </c>
      <c r="AB39" s="67">
        <f t="shared" si="18"/>
        <v>0</v>
      </c>
      <c r="AC39" s="463">
        <f t="shared" si="18"/>
        <v>0</v>
      </c>
      <c r="AE39" s="89" t="s">
        <v>7</v>
      </c>
    </row>
    <row r="40" spans="2:31" ht="12">
      <c r="B40" s="589"/>
      <c r="C40" s="571" t="str">
        <f>C31</f>
        <v>Železniční doprava</v>
      </c>
      <c r="D40" s="418">
        <f>SUM(E40:AC40,E49:AC49)</f>
        <v>0</v>
      </c>
      <c r="E40" s="67">
        <f>E6-E23</f>
        <v>0</v>
      </c>
      <c r="F40" s="67">
        <f t="shared" si="18"/>
        <v>0</v>
      </c>
      <c r="G40" s="67">
        <f t="shared" si="18"/>
        <v>0</v>
      </c>
      <c r="H40" s="67">
        <f t="shared" si="18"/>
        <v>0</v>
      </c>
      <c r="I40" s="67">
        <f t="shared" si="18"/>
        <v>0</v>
      </c>
      <c r="J40" s="67">
        <f t="shared" si="18"/>
        <v>0</v>
      </c>
      <c r="K40" s="67">
        <f t="shared" si="18"/>
        <v>0</v>
      </c>
      <c r="L40" s="67">
        <f t="shared" si="18"/>
        <v>0</v>
      </c>
      <c r="M40" s="67">
        <f t="shared" si="18"/>
        <v>0</v>
      </c>
      <c r="N40" s="67">
        <f t="shared" si="18"/>
        <v>0</v>
      </c>
      <c r="O40" s="67">
        <f t="shared" si="18"/>
        <v>0</v>
      </c>
      <c r="P40" s="67">
        <f t="shared" si="18"/>
        <v>0</v>
      </c>
      <c r="Q40" s="67">
        <f t="shared" si="18"/>
        <v>0</v>
      </c>
      <c r="R40" s="67">
        <f t="shared" si="18"/>
        <v>0</v>
      </c>
      <c r="S40" s="67">
        <f t="shared" si="18"/>
        <v>0</v>
      </c>
      <c r="T40" s="67">
        <f t="shared" si="18"/>
        <v>0</v>
      </c>
      <c r="U40" s="67">
        <f t="shared" si="18"/>
        <v>0</v>
      </c>
      <c r="V40" s="67">
        <f t="shared" si="18"/>
        <v>0</v>
      </c>
      <c r="W40" s="67">
        <f t="shared" si="18"/>
        <v>0</v>
      </c>
      <c r="X40" s="67">
        <f t="shared" si="18"/>
        <v>0</v>
      </c>
      <c r="Y40" s="67">
        <f t="shared" si="18"/>
        <v>0</v>
      </c>
      <c r="Z40" s="67">
        <f t="shared" si="18"/>
        <v>0</v>
      </c>
      <c r="AA40" s="67">
        <f t="shared" si="18"/>
        <v>0</v>
      </c>
      <c r="AB40" s="67">
        <f t="shared" si="18"/>
        <v>0</v>
      </c>
      <c r="AC40" s="463">
        <f t="shared" si="18"/>
        <v>0</v>
      </c>
      <c r="AE40" s="89"/>
    </row>
    <row r="41" spans="2:31" ht="12">
      <c r="B41" s="590"/>
      <c r="C41" s="573" t="str">
        <f>C32</f>
        <v>Indukovaná říční doprava</v>
      </c>
      <c r="D41" s="419">
        <f>SUM(E41:AC41,E50:AC50)</f>
        <v>0</v>
      </c>
      <c r="E41" s="434">
        <f>E7-E24</f>
        <v>0</v>
      </c>
      <c r="F41" s="434">
        <f t="shared" si="18"/>
        <v>0</v>
      </c>
      <c r="G41" s="434">
        <f t="shared" si="18"/>
        <v>0</v>
      </c>
      <c r="H41" s="434">
        <f t="shared" si="18"/>
        <v>0</v>
      </c>
      <c r="I41" s="434">
        <f t="shared" si="18"/>
        <v>0</v>
      </c>
      <c r="J41" s="434">
        <f t="shared" si="18"/>
        <v>0</v>
      </c>
      <c r="K41" s="434">
        <f t="shared" si="18"/>
        <v>0</v>
      </c>
      <c r="L41" s="434">
        <f t="shared" si="18"/>
        <v>0</v>
      </c>
      <c r="M41" s="434">
        <f t="shared" si="18"/>
        <v>0</v>
      </c>
      <c r="N41" s="434">
        <f t="shared" si="18"/>
        <v>0</v>
      </c>
      <c r="O41" s="434">
        <f t="shared" si="18"/>
        <v>0</v>
      </c>
      <c r="P41" s="434">
        <f t="shared" si="18"/>
        <v>0</v>
      </c>
      <c r="Q41" s="434">
        <f t="shared" si="18"/>
        <v>0</v>
      </c>
      <c r="R41" s="434">
        <f t="shared" si="18"/>
        <v>0</v>
      </c>
      <c r="S41" s="434">
        <f t="shared" si="18"/>
        <v>0</v>
      </c>
      <c r="T41" s="434">
        <f t="shared" si="18"/>
        <v>0</v>
      </c>
      <c r="U41" s="434">
        <f t="shared" si="18"/>
        <v>0</v>
      </c>
      <c r="V41" s="434">
        <f t="shared" si="18"/>
        <v>0</v>
      </c>
      <c r="W41" s="434">
        <f t="shared" si="18"/>
        <v>0</v>
      </c>
      <c r="X41" s="434">
        <f t="shared" si="18"/>
        <v>0</v>
      </c>
      <c r="Y41" s="434">
        <f t="shared" si="18"/>
        <v>0</v>
      </c>
      <c r="Z41" s="434">
        <f t="shared" si="18"/>
        <v>0</v>
      </c>
      <c r="AA41" s="434">
        <f t="shared" si="18"/>
        <v>0</v>
      </c>
      <c r="AB41" s="434">
        <f t="shared" si="18"/>
        <v>0</v>
      </c>
      <c r="AC41" s="435">
        <f t="shared" si="18"/>
        <v>0</v>
      </c>
      <c r="AE41" s="92" t="s">
        <v>8</v>
      </c>
    </row>
    <row r="42" spans="2:31" ht="12.75" thickBot="1">
      <c r="B42" s="591"/>
      <c r="C42" s="575" t="str">
        <f>IF('0 Úvod'!$M$3="English",Slovnik!D184,Slovnik!C184)</f>
        <v>Celkové úspory provozních nákladů dopravců</v>
      </c>
      <c r="D42" s="427">
        <f>SUM(E42:AC42,E51:AC51)</f>
        <v>0</v>
      </c>
      <c r="E42" s="464">
        <f aca="true" t="shared" si="20" ref="E42:AC42">SUM(E38:E41)</f>
        <v>0</v>
      </c>
      <c r="F42" s="464">
        <f t="shared" si="20"/>
        <v>0</v>
      </c>
      <c r="G42" s="464">
        <f t="shared" si="20"/>
        <v>0</v>
      </c>
      <c r="H42" s="464">
        <f t="shared" si="20"/>
        <v>0</v>
      </c>
      <c r="I42" s="464">
        <f t="shared" si="20"/>
        <v>0</v>
      </c>
      <c r="J42" s="464">
        <f t="shared" si="20"/>
        <v>0</v>
      </c>
      <c r="K42" s="464">
        <f t="shared" si="20"/>
        <v>0</v>
      </c>
      <c r="L42" s="464">
        <f t="shared" si="20"/>
        <v>0</v>
      </c>
      <c r="M42" s="464">
        <f t="shared" si="20"/>
        <v>0</v>
      </c>
      <c r="N42" s="464">
        <f t="shared" si="20"/>
        <v>0</v>
      </c>
      <c r="O42" s="464">
        <f t="shared" si="20"/>
        <v>0</v>
      </c>
      <c r="P42" s="464">
        <f t="shared" si="20"/>
        <v>0</v>
      </c>
      <c r="Q42" s="464">
        <f t="shared" si="20"/>
        <v>0</v>
      </c>
      <c r="R42" s="464">
        <f t="shared" si="20"/>
        <v>0</v>
      </c>
      <c r="S42" s="464">
        <f t="shared" si="20"/>
        <v>0</v>
      </c>
      <c r="T42" s="464">
        <f t="shared" si="20"/>
        <v>0</v>
      </c>
      <c r="U42" s="464">
        <f t="shared" si="20"/>
        <v>0</v>
      </c>
      <c r="V42" s="464">
        <f t="shared" si="20"/>
        <v>0</v>
      </c>
      <c r="W42" s="464">
        <f t="shared" si="20"/>
        <v>0</v>
      </c>
      <c r="X42" s="464">
        <f t="shared" si="20"/>
        <v>0</v>
      </c>
      <c r="Y42" s="464">
        <f t="shared" si="20"/>
        <v>0</v>
      </c>
      <c r="Z42" s="464">
        <f t="shared" si="20"/>
        <v>0</v>
      </c>
      <c r="AA42" s="464">
        <f t="shared" si="20"/>
        <v>0</v>
      </c>
      <c r="AB42" s="464">
        <f t="shared" si="20"/>
        <v>0</v>
      </c>
      <c r="AC42" s="465">
        <f t="shared" si="20"/>
        <v>0</v>
      </c>
      <c r="AE42" s="86" t="s">
        <v>2</v>
      </c>
    </row>
    <row r="43" spans="2:31" ht="12" thickBot="1">
      <c r="B43" s="56"/>
      <c r="C43" s="74"/>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E43" s="86"/>
    </row>
    <row r="44" spans="2:31" ht="12.75" customHeight="1">
      <c r="B44" s="410" t="str">
        <f>B36</f>
        <v>6.3.</v>
      </c>
      <c r="C44" s="414" t="str">
        <f>C36</f>
        <v>Celkové úspory provozních nákladů dopravců</v>
      </c>
      <c r="D44" s="416" t="str">
        <f>D36</f>
        <v>CZK</v>
      </c>
      <c r="E44" s="1363">
        <f>AC36+1</f>
        <v>2039</v>
      </c>
      <c r="F44" s="1363">
        <f aca="true" t="shared" si="21" ref="F44:S44">E44+1</f>
        <v>2040</v>
      </c>
      <c r="G44" s="1363">
        <f t="shared" si="21"/>
        <v>2041</v>
      </c>
      <c r="H44" s="1363">
        <f t="shared" si="21"/>
        <v>2042</v>
      </c>
      <c r="I44" s="1363">
        <f t="shared" si="21"/>
        <v>2043</v>
      </c>
      <c r="J44" s="1363">
        <f t="shared" si="21"/>
        <v>2044</v>
      </c>
      <c r="K44" s="1363">
        <f t="shared" si="21"/>
        <v>2045</v>
      </c>
      <c r="L44" s="1363">
        <f t="shared" si="21"/>
        <v>2046</v>
      </c>
      <c r="M44" s="1363">
        <f t="shared" si="21"/>
        <v>2047</v>
      </c>
      <c r="N44" s="1363">
        <f t="shared" si="21"/>
        <v>2048</v>
      </c>
      <c r="O44" s="1363">
        <f t="shared" si="21"/>
        <v>2049</v>
      </c>
      <c r="P44" s="1363">
        <f t="shared" si="21"/>
        <v>2050</v>
      </c>
      <c r="Q44" s="1363">
        <f t="shared" si="21"/>
        <v>2051</v>
      </c>
      <c r="R44" s="1363">
        <f t="shared" si="21"/>
        <v>2052</v>
      </c>
      <c r="S44" s="1363">
        <f t="shared" si="21"/>
        <v>2053</v>
      </c>
      <c r="T44" s="1363">
        <f aca="true" t="shared" si="22" ref="T44:AC44">S44+1</f>
        <v>2054</v>
      </c>
      <c r="U44" s="1363">
        <f t="shared" si="22"/>
        <v>2055</v>
      </c>
      <c r="V44" s="1363">
        <f t="shared" si="22"/>
        <v>2056</v>
      </c>
      <c r="W44" s="1363">
        <f t="shared" si="22"/>
        <v>2057</v>
      </c>
      <c r="X44" s="1363">
        <f t="shared" si="22"/>
        <v>2058</v>
      </c>
      <c r="Y44" s="1363">
        <f t="shared" si="22"/>
        <v>2059</v>
      </c>
      <c r="Z44" s="1363">
        <f t="shared" si="22"/>
        <v>2060</v>
      </c>
      <c r="AA44" s="1363">
        <f t="shared" si="22"/>
        <v>2061</v>
      </c>
      <c r="AB44" s="1363">
        <f t="shared" si="22"/>
        <v>2062</v>
      </c>
      <c r="AC44" s="1361">
        <f t="shared" si="22"/>
        <v>2063</v>
      </c>
      <c r="AE44" s="86"/>
    </row>
    <row r="45" spans="2:31" ht="12.75" customHeight="1" thickBot="1">
      <c r="B45" s="411" t="s">
        <v>19</v>
      </c>
      <c r="C45" s="413" t="str">
        <f>C37</f>
        <v>Změna stavu s projektem a bez projektu</v>
      </c>
      <c r="D45" s="424"/>
      <c r="E45" s="1364"/>
      <c r="F45" s="1364"/>
      <c r="G45" s="1364"/>
      <c r="H45" s="1364"/>
      <c r="I45" s="1364"/>
      <c r="J45" s="1364"/>
      <c r="K45" s="1364"/>
      <c r="L45" s="1364"/>
      <c r="M45" s="1364"/>
      <c r="N45" s="1364"/>
      <c r="O45" s="1364"/>
      <c r="P45" s="1364"/>
      <c r="Q45" s="1364"/>
      <c r="R45" s="1364"/>
      <c r="S45" s="1364"/>
      <c r="T45" s="1364"/>
      <c r="U45" s="1364"/>
      <c r="V45" s="1364"/>
      <c r="W45" s="1364"/>
      <c r="X45" s="1364"/>
      <c r="Y45" s="1364"/>
      <c r="Z45" s="1364"/>
      <c r="AA45" s="1364"/>
      <c r="AB45" s="1364"/>
      <c r="AC45" s="1362"/>
      <c r="AE45" s="86"/>
    </row>
    <row r="46" spans="2:31" ht="12">
      <c r="B46" s="589"/>
      <c r="C46" s="576" t="str">
        <f>$C$4</f>
        <v>Vodní doprava - zvýšení efektivity</v>
      </c>
      <c r="D46" s="592"/>
      <c r="E46" s="67">
        <f>E12-E29</f>
        <v>0</v>
      </c>
      <c r="F46" s="67">
        <f aca="true" t="shared" si="23" ref="F46:AC46">F12-F29</f>
        <v>0</v>
      </c>
      <c r="G46" s="67">
        <f t="shared" si="23"/>
        <v>0</v>
      </c>
      <c r="H46" s="67">
        <f t="shared" si="23"/>
        <v>0</v>
      </c>
      <c r="I46" s="67">
        <f t="shared" si="23"/>
        <v>0</v>
      </c>
      <c r="J46" s="67">
        <f t="shared" si="23"/>
        <v>0</v>
      </c>
      <c r="K46" s="67">
        <f t="shared" si="23"/>
        <v>0</v>
      </c>
      <c r="L46" s="67">
        <f t="shared" si="23"/>
        <v>0</v>
      </c>
      <c r="M46" s="67">
        <f t="shared" si="23"/>
        <v>0</v>
      </c>
      <c r="N46" s="67">
        <f t="shared" si="23"/>
        <v>0</v>
      </c>
      <c r="O46" s="67">
        <f t="shared" si="23"/>
        <v>0</v>
      </c>
      <c r="P46" s="67">
        <f t="shared" si="23"/>
        <v>0</v>
      </c>
      <c r="Q46" s="67">
        <f t="shared" si="23"/>
        <v>0</v>
      </c>
      <c r="R46" s="67">
        <f t="shared" si="23"/>
        <v>0</v>
      </c>
      <c r="S46" s="67">
        <f t="shared" si="23"/>
        <v>0</v>
      </c>
      <c r="T46" s="67">
        <f t="shared" si="23"/>
        <v>0</v>
      </c>
      <c r="U46" s="67">
        <f t="shared" si="23"/>
        <v>0</v>
      </c>
      <c r="V46" s="67">
        <f t="shared" si="23"/>
        <v>0</v>
      </c>
      <c r="W46" s="67">
        <f t="shared" si="23"/>
        <v>0</v>
      </c>
      <c r="X46" s="67">
        <f t="shared" si="23"/>
        <v>0</v>
      </c>
      <c r="Y46" s="67">
        <f t="shared" si="23"/>
        <v>0</v>
      </c>
      <c r="Z46" s="67">
        <f t="shared" si="23"/>
        <v>0</v>
      </c>
      <c r="AA46" s="67">
        <f t="shared" si="23"/>
        <v>0</v>
      </c>
      <c r="AB46" s="67">
        <f t="shared" si="23"/>
        <v>0</v>
      </c>
      <c r="AC46" s="463">
        <f t="shared" si="23"/>
        <v>0</v>
      </c>
      <c r="AE46" s="89" t="s">
        <v>6</v>
      </c>
    </row>
    <row r="47" spans="2:31" ht="12">
      <c r="B47" s="589"/>
      <c r="C47" s="576" t="str">
        <f>C39</f>
        <v>Silniční doprava</v>
      </c>
      <c r="D47" s="592"/>
      <c r="E47" s="67">
        <f aca="true" t="shared" si="24" ref="E47:AC47">E13-E30</f>
        <v>0</v>
      </c>
      <c r="F47" s="67">
        <f t="shared" si="24"/>
        <v>0</v>
      </c>
      <c r="G47" s="67">
        <f t="shared" si="24"/>
        <v>0</v>
      </c>
      <c r="H47" s="67">
        <f t="shared" si="24"/>
        <v>0</v>
      </c>
      <c r="I47" s="67">
        <f t="shared" si="24"/>
        <v>0</v>
      </c>
      <c r="J47" s="67">
        <f t="shared" si="24"/>
        <v>0</v>
      </c>
      <c r="K47" s="67">
        <f t="shared" si="24"/>
        <v>0</v>
      </c>
      <c r="L47" s="67">
        <f t="shared" si="24"/>
        <v>0</v>
      </c>
      <c r="M47" s="67">
        <f t="shared" si="24"/>
        <v>0</v>
      </c>
      <c r="N47" s="67">
        <f t="shared" si="24"/>
        <v>0</v>
      </c>
      <c r="O47" s="67">
        <f t="shared" si="24"/>
        <v>0</v>
      </c>
      <c r="P47" s="67">
        <f t="shared" si="24"/>
        <v>0</v>
      </c>
      <c r="Q47" s="67">
        <f t="shared" si="24"/>
        <v>0</v>
      </c>
      <c r="R47" s="67">
        <f t="shared" si="24"/>
        <v>0</v>
      </c>
      <c r="S47" s="67">
        <f t="shared" si="24"/>
        <v>0</v>
      </c>
      <c r="T47" s="67">
        <f t="shared" si="24"/>
        <v>0</v>
      </c>
      <c r="U47" s="67">
        <f t="shared" si="24"/>
        <v>0</v>
      </c>
      <c r="V47" s="67">
        <f t="shared" si="24"/>
        <v>0</v>
      </c>
      <c r="W47" s="67">
        <f t="shared" si="24"/>
        <v>0</v>
      </c>
      <c r="X47" s="67">
        <f t="shared" si="24"/>
        <v>0</v>
      </c>
      <c r="Y47" s="67">
        <f t="shared" si="24"/>
        <v>0</v>
      </c>
      <c r="Z47" s="67">
        <f t="shared" si="24"/>
        <v>0</v>
      </c>
      <c r="AA47" s="67">
        <f t="shared" si="24"/>
        <v>0</v>
      </c>
      <c r="AB47" s="67">
        <f t="shared" si="24"/>
        <v>0</v>
      </c>
      <c r="AC47" s="463">
        <f t="shared" si="24"/>
        <v>0</v>
      </c>
      <c r="AE47" s="89" t="s">
        <v>7</v>
      </c>
    </row>
    <row r="48" spans="2:31" ht="12">
      <c r="B48" s="589"/>
      <c r="C48" s="576" t="str">
        <f>C40</f>
        <v>Železniční doprava</v>
      </c>
      <c r="D48" s="592"/>
      <c r="E48" s="67">
        <f aca="true" t="shared" si="25" ref="E48:AC48">E14-E31</f>
        <v>0</v>
      </c>
      <c r="F48" s="67">
        <f t="shared" si="25"/>
        <v>0</v>
      </c>
      <c r="G48" s="67">
        <f t="shared" si="25"/>
        <v>0</v>
      </c>
      <c r="H48" s="67">
        <f t="shared" si="25"/>
        <v>0</v>
      </c>
      <c r="I48" s="67">
        <f t="shared" si="25"/>
        <v>0</v>
      </c>
      <c r="J48" s="67">
        <f t="shared" si="25"/>
        <v>0</v>
      </c>
      <c r="K48" s="67">
        <f t="shared" si="25"/>
        <v>0</v>
      </c>
      <c r="L48" s="67">
        <f t="shared" si="25"/>
        <v>0</v>
      </c>
      <c r="M48" s="67">
        <f t="shared" si="25"/>
        <v>0</v>
      </c>
      <c r="N48" s="67">
        <f t="shared" si="25"/>
        <v>0</v>
      </c>
      <c r="O48" s="67">
        <f t="shared" si="25"/>
        <v>0</v>
      </c>
      <c r="P48" s="67">
        <f t="shared" si="25"/>
        <v>0</v>
      </c>
      <c r="Q48" s="67">
        <f t="shared" si="25"/>
        <v>0</v>
      </c>
      <c r="R48" s="67">
        <f t="shared" si="25"/>
        <v>0</v>
      </c>
      <c r="S48" s="67">
        <f t="shared" si="25"/>
        <v>0</v>
      </c>
      <c r="T48" s="67">
        <f t="shared" si="25"/>
        <v>0</v>
      </c>
      <c r="U48" s="67">
        <f t="shared" si="25"/>
        <v>0</v>
      </c>
      <c r="V48" s="67">
        <f t="shared" si="25"/>
        <v>0</v>
      </c>
      <c r="W48" s="67">
        <f t="shared" si="25"/>
        <v>0</v>
      </c>
      <c r="X48" s="67">
        <f t="shared" si="25"/>
        <v>0</v>
      </c>
      <c r="Y48" s="67">
        <f t="shared" si="25"/>
        <v>0</v>
      </c>
      <c r="Z48" s="67">
        <f t="shared" si="25"/>
        <v>0</v>
      </c>
      <c r="AA48" s="67">
        <f t="shared" si="25"/>
        <v>0</v>
      </c>
      <c r="AB48" s="67">
        <f t="shared" si="25"/>
        <v>0</v>
      </c>
      <c r="AC48" s="463">
        <f t="shared" si="25"/>
        <v>0</v>
      </c>
      <c r="AE48" s="89"/>
    </row>
    <row r="49" spans="2:31" ht="12">
      <c r="B49" s="590"/>
      <c r="C49" s="581" t="str">
        <f>$C$7</f>
        <v>Indukovaná říční doprava</v>
      </c>
      <c r="D49" s="593"/>
      <c r="E49" s="434">
        <f aca="true" t="shared" si="26" ref="E49:AC49">E15-E32</f>
        <v>0</v>
      </c>
      <c r="F49" s="434">
        <f t="shared" si="26"/>
        <v>0</v>
      </c>
      <c r="G49" s="434">
        <f t="shared" si="26"/>
        <v>0</v>
      </c>
      <c r="H49" s="434">
        <f t="shared" si="26"/>
        <v>0</v>
      </c>
      <c r="I49" s="434">
        <f t="shared" si="26"/>
        <v>0</v>
      </c>
      <c r="J49" s="434">
        <f t="shared" si="26"/>
        <v>0</v>
      </c>
      <c r="K49" s="434">
        <f t="shared" si="26"/>
        <v>0</v>
      </c>
      <c r="L49" s="434">
        <f t="shared" si="26"/>
        <v>0</v>
      </c>
      <c r="M49" s="434">
        <f t="shared" si="26"/>
        <v>0</v>
      </c>
      <c r="N49" s="434">
        <f t="shared" si="26"/>
        <v>0</v>
      </c>
      <c r="O49" s="434">
        <f t="shared" si="26"/>
        <v>0</v>
      </c>
      <c r="P49" s="434">
        <f t="shared" si="26"/>
        <v>0</v>
      </c>
      <c r="Q49" s="434">
        <f t="shared" si="26"/>
        <v>0</v>
      </c>
      <c r="R49" s="434">
        <f t="shared" si="26"/>
        <v>0</v>
      </c>
      <c r="S49" s="434">
        <f t="shared" si="26"/>
        <v>0</v>
      </c>
      <c r="T49" s="434">
        <f t="shared" si="26"/>
        <v>0</v>
      </c>
      <c r="U49" s="434">
        <f t="shared" si="26"/>
        <v>0</v>
      </c>
      <c r="V49" s="434">
        <f t="shared" si="26"/>
        <v>0</v>
      </c>
      <c r="W49" s="434">
        <f t="shared" si="26"/>
        <v>0</v>
      </c>
      <c r="X49" s="434">
        <f t="shared" si="26"/>
        <v>0</v>
      </c>
      <c r="Y49" s="434">
        <f t="shared" si="26"/>
        <v>0</v>
      </c>
      <c r="Z49" s="434">
        <f t="shared" si="26"/>
        <v>0</v>
      </c>
      <c r="AA49" s="434">
        <f t="shared" si="26"/>
        <v>0</v>
      </c>
      <c r="AB49" s="434">
        <f t="shared" si="26"/>
        <v>0</v>
      </c>
      <c r="AC49" s="435">
        <f t="shared" si="26"/>
        <v>0</v>
      </c>
      <c r="AE49" s="92" t="s">
        <v>8</v>
      </c>
    </row>
    <row r="50" spans="2:31" ht="12.75" thickBot="1">
      <c r="B50" s="591"/>
      <c r="C50" s="583" t="str">
        <f>C42</f>
        <v>Celkové úspory provozních nákladů dopravců</v>
      </c>
      <c r="D50" s="594"/>
      <c r="E50" s="464">
        <f aca="true" t="shared" si="27" ref="E50:AC50">SUM(E46:E49)</f>
        <v>0</v>
      </c>
      <c r="F50" s="464">
        <f t="shared" si="27"/>
        <v>0</v>
      </c>
      <c r="G50" s="464">
        <f t="shared" si="27"/>
        <v>0</v>
      </c>
      <c r="H50" s="464">
        <f t="shared" si="27"/>
        <v>0</v>
      </c>
      <c r="I50" s="464">
        <f t="shared" si="27"/>
        <v>0</v>
      </c>
      <c r="J50" s="464">
        <f t="shared" si="27"/>
        <v>0</v>
      </c>
      <c r="K50" s="464">
        <f t="shared" si="27"/>
        <v>0</v>
      </c>
      <c r="L50" s="464">
        <f t="shared" si="27"/>
        <v>0</v>
      </c>
      <c r="M50" s="464">
        <f t="shared" si="27"/>
        <v>0</v>
      </c>
      <c r="N50" s="464">
        <f t="shared" si="27"/>
        <v>0</v>
      </c>
      <c r="O50" s="464">
        <f t="shared" si="27"/>
        <v>0</v>
      </c>
      <c r="P50" s="464">
        <f t="shared" si="27"/>
        <v>0</v>
      </c>
      <c r="Q50" s="464">
        <f t="shared" si="27"/>
        <v>0</v>
      </c>
      <c r="R50" s="464">
        <f t="shared" si="27"/>
        <v>0</v>
      </c>
      <c r="S50" s="464">
        <f t="shared" si="27"/>
        <v>0</v>
      </c>
      <c r="T50" s="464">
        <f t="shared" si="27"/>
        <v>0</v>
      </c>
      <c r="U50" s="464">
        <f t="shared" si="27"/>
        <v>0</v>
      </c>
      <c r="V50" s="464">
        <f t="shared" si="27"/>
        <v>0</v>
      </c>
      <c r="W50" s="464">
        <f t="shared" si="27"/>
        <v>0</v>
      </c>
      <c r="X50" s="464">
        <f t="shared" si="27"/>
        <v>0</v>
      </c>
      <c r="Y50" s="464">
        <f t="shared" si="27"/>
        <v>0</v>
      </c>
      <c r="Z50" s="464">
        <f t="shared" si="27"/>
        <v>0</v>
      </c>
      <c r="AA50" s="464">
        <f t="shared" si="27"/>
        <v>0</v>
      </c>
      <c r="AB50" s="464">
        <f t="shared" si="27"/>
        <v>0</v>
      </c>
      <c r="AC50" s="465">
        <f t="shared" si="27"/>
        <v>0</v>
      </c>
      <c r="AE50" s="86" t="s">
        <v>2</v>
      </c>
    </row>
    <row r="52" ht="14.25" customHeight="1" thickBot="1"/>
    <row r="53" spans="2:10" ht="14.25" customHeight="1">
      <c r="B53" s="466" t="s">
        <v>290</v>
      </c>
      <c r="C53" s="480" t="str">
        <f>IF('0 Úvod'!$M$3="English",Slovnik!D185,Slovnik!C185)</f>
        <v>Nákladní doprava</v>
      </c>
      <c r="D53" s="1376" t="str">
        <f>IF('0 Úvod'!$M$3="English",Slovnik!D189,Slovnik!C189)</f>
        <v>Silniční doprava</v>
      </c>
      <c r="E53" s="1376"/>
      <c r="F53" s="1377" t="str">
        <f>IF('0 Úvod'!$M$3="English",Slovnik!D190,Slovnik!C190)</f>
        <v>Železniční doprava</v>
      </c>
      <c r="G53" s="1378"/>
      <c r="H53" s="1379" t="str">
        <f>IF('0 Úvod'!$M$3="English",Slovnik!D191,Slovnik!C191)</f>
        <v>Říční doprava / ponor v cm</v>
      </c>
      <c r="I53" s="1380"/>
      <c r="J53" s="1381"/>
    </row>
    <row r="54" spans="2:10" ht="14.25" customHeight="1" thickBot="1">
      <c r="B54" s="395"/>
      <c r="C54" s="601" t="str">
        <f>IF('0 Úvod'!$M$3="English",Slovnik!D186,Slovnik!C186)</f>
        <v>Kč/vozokm / vlakokm</v>
      </c>
      <c r="D54" s="596" t="str">
        <f>IF('0 Úvod'!$M$3="English",Slovnik!D192,Slovnik!C192)</f>
        <v>LUV</v>
      </c>
      <c r="E54" s="597" t="str">
        <f>IF('0 Úvod'!$M$3="English",Slovnik!D193,Slovnik!C193)</f>
        <v>TUV</v>
      </c>
      <c r="F54" s="596" t="str">
        <f>IF('0 Úvod'!$M$3="English",Slovnik!D194,Slovnik!C194)</f>
        <v>Diesel</v>
      </c>
      <c r="G54" s="598" t="str">
        <f>IF('0 Úvod'!$M$3="English",Slovnik!D195,Slovnik!C195)</f>
        <v>Elektro</v>
      </c>
      <c r="H54" s="596">
        <v>200</v>
      </c>
      <c r="I54" s="599">
        <v>250</v>
      </c>
      <c r="J54" s="600">
        <v>280</v>
      </c>
    </row>
    <row r="55" spans="2:10" ht="14.25" customHeight="1" thickBot="1">
      <c r="B55" s="395"/>
      <c r="C55" s="602" t="str">
        <f>IF('0 Úvod'!$M$3="English",Slovnik!D187,Slovnik!C187)</f>
        <v>Základní měrná hodnota v CÚ 2012</v>
      </c>
      <c r="D55" s="534">
        <v>8.05</v>
      </c>
      <c r="E55" s="535">
        <v>25.14</v>
      </c>
      <c r="F55" s="534">
        <v>146.19</v>
      </c>
      <c r="G55" s="536">
        <v>146.19</v>
      </c>
      <c r="H55" s="540"/>
      <c r="I55" s="541"/>
      <c r="J55" s="537"/>
    </row>
    <row r="56" spans="2:10" ht="14.25" customHeight="1" thickBot="1">
      <c r="B56" s="395"/>
      <c r="C56" s="603"/>
      <c r="D56" s="1384" t="str">
        <f>IF('0 Úvod'!$M$3="English",Slovnik!D196,Slovnik!C196)</f>
        <v>tunokm</v>
      </c>
      <c r="E56" s="1385"/>
      <c r="F56" s="1384" t="str">
        <f>D56</f>
        <v>tunokm</v>
      </c>
      <c r="G56" s="1385"/>
      <c r="H56" s="595" t="str">
        <f>D56</f>
        <v>tunokm</v>
      </c>
      <c r="I56" s="1057" t="str">
        <f>D56</f>
        <v>tunokm</v>
      </c>
      <c r="J56" s="1056" t="str">
        <f>D56</f>
        <v>tunokm</v>
      </c>
    </row>
    <row r="57" spans="2:10" ht="14.25" customHeight="1">
      <c r="B57" s="395"/>
      <c r="C57" s="604" t="str">
        <f>C55</f>
        <v>Základní měrná hodnota v CÚ 2012</v>
      </c>
      <c r="D57" s="1386">
        <v>2.1</v>
      </c>
      <c r="E57" s="1387"/>
      <c r="F57" s="1388">
        <f>F55/500</f>
        <v>0.29238</v>
      </c>
      <c r="G57" s="1389"/>
      <c r="H57" s="538">
        <v>0.86</v>
      </c>
      <c r="I57" s="542">
        <v>0.63</v>
      </c>
      <c r="J57" s="539">
        <v>0.55</v>
      </c>
    </row>
    <row r="58" spans="2:10" ht="14.25" customHeight="1" thickBot="1">
      <c r="B58" s="467"/>
      <c r="C58" s="605" t="str">
        <f>IF('0 Úvod'!$M$3="English",Slovnik!D188,Slovnik!C188)</f>
        <v>Měrná hodnota v CÚ 2014</v>
      </c>
      <c r="D58" s="1390"/>
      <c r="E58" s="1391"/>
      <c r="F58" s="1390"/>
      <c r="G58" s="1391"/>
      <c r="H58" s="841"/>
      <c r="I58" s="842"/>
      <c r="J58" s="843"/>
    </row>
    <row r="59" ht="14.25" customHeight="1"/>
    <row r="60" ht="14.25" customHeight="1" thickBot="1"/>
    <row r="61" spans="1:29" ht="12.75">
      <c r="A61" s="49"/>
      <c r="B61" s="450" t="s">
        <v>103</v>
      </c>
      <c r="C61" s="451" t="str">
        <f>IF('0 Úvod'!$M$3="English",Slovnik!D197,Slovnik!C197)</f>
        <v>Celkové čisté tunokm</v>
      </c>
      <c r="D61" s="1058" t="str">
        <f>D56</f>
        <v>tunokm</v>
      </c>
      <c r="E61" s="1351">
        <f>E2</f>
        <v>2014</v>
      </c>
      <c r="F61" s="1351">
        <f aca="true" t="shared" si="28" ref="F61:S61">E61+1</f>
        <v>2015</v>
      </c>
      <c r="G61" s="1351">
        <f t="shared" si="28"/>
        <v>2016</v>
      </c>
      <c r="H61" s="1351">
        <f t="shared" si="28"/>
        <v>2017</v>
      </c>
      <c r="I61" s="1351">
        <f t="shared" si="28"/>
        <v>2018</v>
      </c>
      <c r="J61" s="1351">
        <f t="shared" si="28"/>
        <v>2019</v>
      </c>
      <c r="K61" s="1351">
        <f t="shared" si="28"/>
        <v>2020</v>
      </c>
      <c r="L61" s="1351">
        <f t="shared" si="28"/>
        <v>2021</v>
      </c>
      <c r="M61" s="1351">
        <f t="shared" si="28"/>
        <v>2022</v>
      </c>
      <c r="N61" s="1351">
        <f t="shared" si="28"/>
        <v>2023</v>
      </c>
      <c r="O61" s="1351">
        <f t="shared" si="28"/>
        <v>2024</v>
      </c>
      <c r="P61" s="1351">
        <f t="shared" si="28"/>
        <v>2025</v>
      </c>
      <c r="Q61" s="1351">
        <f t="shared" si="28"/>
        <v>2026</v>
      </c>
      <c r="R61" s="1351">
        <f t="shared" si="28"/>
        <v>2027</v>
      </c>
      <c r="S61" s="1351">
        <f t="shared" si="28"/>
        <v>2028</v>
      </c>
      <c r="T61" s="1351">
        <f aca="true" t="shared" si="29" ref="T61:AC61">S61+1</f>
        <v>2029</v>
      </c>
      <c r="U61" s="1351">
        <f t="shared" si="29"/>
        <v>2030</v>
      </c>
      <c r="V61" s="1351">
        <f t="shared" si="29"/>
        <v>2031</v>
      </c>
      <c r="W61" s="1351">
        <f t="shared" si="29"/>
        <v>2032</v>
      </c>
      <c r="X61" s="1351">
        <f t="shared" si="29"/>
        <v>2033</v>
      </c>
      <c r="Y61" s="1351">
        <f t="shared" si="29"/>
        <v>2034</v>
      </c>
      <c r="Z61" s="1351">
        <f t="shared" si="29"/>
        <v>2035</v>
      </c>
      <c r="AA61" s="1351">
        <f t="shared" si="29"/>
        <v>2036</v>
      </c>
      <c r="AB61" s="1351">
        <f t="shared" si="29"/>
        <v>2037</v>
      </c>
      <c r="AC61" s="1353">
        <f t="shared" si="29"/>
        <v>2038</v>
      </c>
    </row>
    <row r="62" spans="1:29" ht="13.5" thickBot="1">
      <c r="A62" s="49"/>
      <c r="B62" s="453" t="s">
        <v>17</v>
      </c>
      <c r="C62" s="470" t="str">
        <f>C3</f>
        <v>Scénář s projektem</v>
      </c>
      <c r="D62" s="455" t="str">
        <f>D3</f>
        <v>Celkem</v>
      </c>
      <c r="E62" s="1352"/>
      <c r="F62" s="1352"/>
      <c r="G62" s="1352"/>
      <c r="H62" s="1352"/>
      <c r="I62" s="1352"/>
      <c r="J62" s="1352"/>
      <c r="K62" s="1352"/>
      <c r="L62" s="1352"/>
      <c r="M62" s="1352"/>
      <c r="N62" s="1352"/>
      <c r="O62" s="1352"/>
      <c r="P62" s="1352"/>
      <c r="Q62" s="1352"/>
      <c r="R62" s="1352"/>
      <c r="S62" s="1352"/>
      <c r="T62" s="1352"/>
      <c r="U62" s="1352"/>
      <c r="V62" s="1352"/>
      <c r="W62" s="1352"/>
      <c r="X62" s="1352"/>
      <c r="Y62" s="1352"/>
      <c r="Z62" s="1352"/>
      <c r="AA62" s="1352"/>
      <c r="AB62" s="1352"/>
      <c r="AC62" s="1354"/>
    </row>
    <row r="63" spans="1:29" ht="12">
      <c r="A63" s="49"/>
      <c r="B63" s="1382"/>
      <c r="C63" s="741" t="str">
        <f>IF('0 Úvod'!$M$3="English",Slovnik!D198,Slovnik!C198)</f>
        <v>Říční doprava projektová</v>
      </c>
      <c r="D63" s="425">
        <f aca="true" t="shared" si="30" ref="D63:D68">SUM(E63:AC63,E72:AC72)</f>
        <v>0</v>
      </c>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3"/>
    </row>
    <row r="64" spans="1:29" ht="12">
      <c r="A64" s="49"/>
      <c r="B64" s="1382"/>
      <c r="C64" s="486" t="str">
        <f>IF('0 Úvod'!$M$3="English",Slovnik!D199,Slovnik!C199)</f>
        <v>rezerva</v>
      </c>
      <c r="D64" s="426">
        <f t="shared" si="30"/>
        <v>0</v>
      </c>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7"/>
    </row>
    <row r="65" spans="1:29" ht="12" customHeight="1">
      <c r="A65" s="49"/>
      <c r="B65" s="1397"/>
      <c r="C65" s="741" t="str">
        <f>IF('0 Úvod'!$M$3="English",Slovnik!D200,Slovnik!C200)</f>
        <v>Silniční doprava</v>
      </c>
      <c r="D65" s="425">
        <f t="shared" si="30"/>
        <v>0</v>
      </c>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3"/>
    </row>
    <row r="66" spans="1:29" ht="12">
      <c r="A66" s="49"/>
      <c r="B66" s="1383"/>
      <c r="C66" s="743" t="str">
        <f>IF('0 Úvod'!$M$3="English",Slovnik!D201,Slovnik!C201)</f>
        <v>Železniční doprava</v>
      </c>
      <c r="D66" s="426">
        <f t="shared" si="30"/>
        <v>0</v>
      </c>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7"/>
    </row>
    <row r="67" spans="1:29" ht="12" customHeight="1">
      <c r="A67" s="49"/>
      <c r="B67" s="753"/>
      <c r="C67" s="743" t="str">
        <f>IF('0 Úvod'!$M$3="English",Slovnik!D202,Slovnik!C202)</f>
        <v>Říční doprava indukovaná</v>
      </c>
      <c r="D67" s="438">
        <f t="shared" si="30"/>
        <v>0</v>
      </c>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row>
    <row r="68" spans="1:29" ht="12.75" thickBot="1">
      <c r="A68" s="49"/>
      <c r="B68" s="744"/>
      <c r="C68" s="745" t="str">
        <f>IF('0 Úvod'!$M$3="English",Slovnik!D203,Slovnik!C203)</f>
        <v>Celkové tunokm</v>
      </c>
      <c r="D68" s="423">
        <f t="shared" si="30"/>
        <v>0</v>
      </c>
      <c r="E68" s="393">
        <f aca="true" t="shared" si="31" ref="E68:AC68">SUM(E63:E67)</f>
        <v>0</v>
      </c>
      <c r="F68" s="436">
        <f t="shared" si="31"/>
        <v>0</v>
      </c>
      <c r="G68" s="436">
        <f t="shared" si="31"/>
        <v>0</v>
      </c>
      <c r="H68" s="436">
        <f t="shared" si="31"/>
        <v>0</v>
      </c>
      <c r="I68" s="436">
        <f t="shared" si="31"/>
        <v>0</v>
      </c>
      <c r="J68" s="436">
        <f t="shared" si="31"/>
        <v>0</v>
      </c>
      <c r="K68" s="436">
        <f t="shared" si="31"/>
        <v>0</v>
      </c>
      <c r="L68" s="436">
        <f t="shared" si="31"/>
        <v>0</v>
      </c>
      <c r="M68" s="436">
        <f t="shared" si="31"/>
        <v>0</v>
      </c>
      <c r="N68" s="436">
        <f t="shared" si="31"/>
        <v>0</v>
      </c>
      <c r="O68" s="436">
        <f t="shared" si="31"/>
        <v>0</v>
      </c>
      <c r="P68" s="436">
        <f t="shared" si="31"/>
        <v>0</v>
      </c>
      <c r="Q68" s="436">
        <f t="shared" si="31"/>
        <v>0</v>
      </c>
      <c r="R68" s="436">
        <f t="shared" si="31"/>
        <v>0</v>
      </c>
      <c r="S68" s="436">
        <f t="shared" si="31"/>
        <v>0</v>
      </c>
      <c r="T68" s="436">
        <f t="shared" si="31"/>
        <v>0</v>
      </c>
      <c r="U68" s="436">
        <f t="shared" si="31"/>
        <v>0</v>
      </c>
      <c r="V68" s="436">
        <f t="shared" si="31"/>
        <v>0</v>
      </c>
      <c r="W68" s="436">
        <f t="shared" si="31"/>
        <v>0</v>
      </c>
      <c r="X68" s="436">
        <f t="shared" si="31"/>
        <v>0</v>
      </c>
      <c r="Y68" s="436">
        <f t="shared" si="31"/>
        <v>0</v>
      </c>
      <c r="Z68" s="436">
        <f t="shared" si="31"/>
        <v>0</v>
      </c>
      <c r="AA68" s="436">
        <f t="shared" si="31"/>
        <v>0</v>
      </c>
      <c r="AB68" s="436">
        <f t="shared" si="31"/>
        <v>0</v>
      </c>
      <c r="AC68" s="437">
        <f t="shared" si="31"/>
        <v>0</v>
      </c>
    </row>
    <row r="69" spans="1:29" ht="12" thickBot="1">
      <c r="A69" s="49"/>
      <c r="B69" s="85"/>
      <c r="C69" s="45"/>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row>
    <row r="70" spans="1:29" ht="12.75">
      <c r="A70" s="49"/>
      <c r="B70" s="450" t="str">
        <f>B61</f>
        <v>6.5.</v>
      </c>
      <c r="C70" s="468" t="str">
        <f>C61</f>
        <v>Celkové čisté tunokm</v>
      </c>
      <c r="D70" s="469"/>
      <c r="E70" s="1351">
        <f>AC61+1</f>
        <v>2039</v>
      </c>
      <c r="F70" s="1351">
        <f aca="true" t="shared" si="32" ref="F70:S70">E70+1</f>
        <v>2040</v>
      </c>
      <c r="G70" s="1351">
        <f t="shared" si="32"/>
        <v>2041</v>
      </c>
      <c r="H70" s="1351">
        <f t="shared" si="32"/>
        <v>2042</v>
      </c>
      <c r="I70" s="1351">
        <f t="shared" si="32"/>
        <v>2043</v>
      </c>
      <c r="J70" s="1351">
        <f t="shared" si="32"/>
        <v>2044</v>
      </c>
      <c r="K70" s="1351">
        <f t="shared" si="32"/>
        <v>2045</v>
      </c>
      <c r="L70" s="1351">
        <f t="shared" si="32"/>
        <v>2046</v>
      </c>
      <c r="M70" s="1351">
        <f t="shared" si="32"/>
        <v>2047</v>
      </c>
      <c r="N70" s="1351">
        <f t="shared" si="32"/>
        <v>2048</v>
      </c>
      <c r="O70" s="1351">
        <f t="shared" si="32"/>
        <v>2049</v>
      </c>
      <c r="P70" s="1351">
        <f t="shared" si="32"/>
        <v>2050</v>
      </c>
      <c r="Q70" s="1351">
        <f t="shared" si="32"/>
        <v>2051</v>
      </c>
      <c r="R70" s="1351">
        <f t="shared" si="32"/>
        <v>2052</v>
      </c>
      <c r="S70" s="1351">
        <f t="shared" si="32"/>
        <v>2053</v>
      </c>
      <c r="T70" s="1351">
        <f aca="true" t="shared" si="33" ref="T70:AC70">S70+1</f>
        <v>2054</v>
      </c>
      <c r="U70" s="1351">
        <f t="shared" si="33"/>
        <v>2055</v>
      </c>
      <c r="V70" s="1351">
        <f t="shared" si="33"/>
        <v>2056</v>
      </c>
      <c r="W70" s="1351">
        <f t="shared" si="33"/>
        <v>2057</v>
      </c>
      <c r="X70" s="1351">
        <f t="shared" si="33"/>
        <v>2058</v>
      </c>
      <c r="Y70" s="1351">
        <f t="shared" si="33"/>
        <v>2059</v>
      </c>
      <c r="Z70" s="1351">
        <f t="shared" si="33"/>
        <v>2060</v>
      </c>
      <c r="AA70" s="1351">
        <f t="shared" si="33"/>
        <v>2061</v>
      </c>
      <c r="AB70" s="1351">
        <f t="shared" si="33"/>
        <v>2062</v>
      </c>
      <c r="AC70" s="1353">
        <f t="shared" si="33"/>
        <v>2063</v>
      </c>
    </row>
    <row r="71" spans="1:29" ht="13.5" thickBot="1">
      <c r="A71" s="49"/>
      <c r="B71" s="453" t="s">
        <v>19</v>
      </c>
      <c r="C71" s="458" t="str">
        <f aca="true" t="shared" si="34" ref="C71:C77">C62</f>
        <v>Scénář s projektem</v>
      </c>
      <c r="D71" s="459"/>
      <c r="E71" s="1352"/>
      <c r="F71" s="1352"/>
      <c r="G71" s="1352"/>
      <c r="H71" s="1352"/>
      <c r="I71" s="1352"/>
      <c r="J71" s="1352"/>
      <c r="K71" s="1352"/>
      <c r="L71" s="1352"/>
      <c r="M71" s="1352"/>
      <c r="N71" s="1352"/>
      <c r="O71" s="1352"/>
      <c r="P71" s="1352"/>
      <c r="Q71" s="1352"/>
      <c r="R71" s="1352"/>
      <c r="S71" s="1352"/>
      <c r="T71" s="1352"/>
      <c r="U71" s="1352"/>
      <c r="V71" s="1352"/>
      <c r="W71" s="1352"/>
      <c r="X71" s="1352"/>
      <c r="Y71" s="1352"/>
      <c r="Z71" s="1352"/>
      <c r="AA71" s="1352"/>
      <c r="AB71" s="1352"/>
      <c r="AC71" s="1354"/>
    </row>
    <row r="72" spans="1:29" ht="12">
      <c r="A72" s="49"/>
      <c r="B72" s="1382"/>
      <c r="C72" s="746" t="str">
        <f t="shared" si="34"/>
        <v>Říční doprava projektová</v>
      </c>
      <c r="D72" s="747"/>
      <c r="E72" s="446"/>
      <c r="F72" s="446"/>
      <c r="G72" s="446"/>
      <c r="H72" s="446"/>
      <c r="I72" s="446"/>
      <c r="J72" s="446"/>
      <c r="K72" s="446"/>
      <c r="L72" s="446"/>
      <c r="M72" s="446"/>
      <c r="N72" s="446"/>
      <c r="O72" s="446"/>
      <c r="P72" s="446"/>
      <c r="Q72" s="446"/>
      <c r="R72" s="446"/>
      <c r="S72" s="446"/>
      <c r="T72" s="446"/>
      <c r="U72" s="446"/>
      <c r="V72" s="446"/>
      <c r="W72" s="446"/>
      <c r="X72" s="446"/>
      <c r="Y72" s="446"/>
      <c r="Z72" s="446"/>
      <c r="AA72" s="446"/>
      <c r="AB72" s="446"/>
      <c r="AC72" s="447"/>
    </row>
    <row r="73" spans="1:29" ht="12">
      <c r="A73" s="49"/>
      <c r="B73" s="1383"/>
      <c r="C73" s="487" t="str">
        <f t="shared" si="34"/>
        <v>rezerva</v>
      </c>
      <c r="D73" s="754"/>
      <c r="E73" s="478"/>
      <c r="F73" s="478"/>
      <c r="G73" s="478"/>
      <c r="H73" s="478"/>
      <c r="I73" s="478"/>
      <c r="J73" s="478"/>
      <c r="K73" s="478"/>
      <c r="L73" s="478"/>
      <c r="M73" s="478"/>
      <c r="N73" s="478"/>
      <c r="O73" s="478"/>
      <c r="P73" s="478"/>
      <c r="Q73" s="478"/>
      <c r="R73" s="478"/>
      <c r="S73" s="478"/>
      <c r="T73" s="478"/>
      <c r="U73" s="478"/>
      <c r="V73" s="478"/>
      <c r="W73" s="478"/>
      <c r="X73" s="478"/>
      <c r="Y73" s="478"/>
      <c r="Z73" s="478"/>
      <c r="AA73" s="478"/>
      <c r="AB73" s="478"/>
      <c r="AC73" s="479"/>
    </row>
    <row r="74" spans="1:29" ht="12">
      <c r="A74" s="49"/>
      <c r="B74" s="1382"/>
      <c r="C74" s="746" t="str">
        <f t="shared" si="34"/>
        <v>Silniční doprava</v>
      </c>
      <c r="D74" s="747"/>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7"/>
    </row>
    <row r="75" spans="1:29" ht="12">
      <c r="A75" s="49"/>
      <c r="B75" s="1383"/>
      <c r="C75" s="749" t="str">
        <f t="shared" si="34"/>
        <v>Železniční doprava</v>
      </c>
      <c r="D75" s="754"/>
      <c r="E75" s="478"/>
      <c r="F75" s="478"/>
      <c r="G75" s="478"/>
      <c r="H75" s="478"/>
      <c r="I75" s="478"/>
      <c r="J75" s="478"/>
      <c r="K75" s="478"/>
      <c r="L75" s="478"/>
      <c r="M75" s="478"/>
      <c r="N75" s="478"/>
      <c r="O75" s="478"/>
      <c r="P75" s="478"/>
      <c r="Q75" s="478"/>
      <c r="R75" s="478"/>
      <c r="S75" s="478"/>
      <c r="T75" s="478"/>
      <c r="U75" s="478"/>
      <c r="V75" s="478"/>
      <c r="W75" s="478"/>
      <c r="X75" s="478"/>
      <c r="Y75" s="478"/>
      <c r="Z75" s="478"/>
      <c r="AA75" s="478"/>
      <c r="AB75" s="478"/>
      <c r="AC75" s="479"/>
    </row>
    <row r="76" spans="1:29" ht="12">
      <c r="A76" s="49"/>
      <c r="B76" s="753"/>
      <c r="C76" s="755" t="str">
        <f t="shared" si="34"/>
        <v>Říční doprava indukovaná</v>
      </c>
      <c r="D76" s="756"/>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3"/>
    </row>
    <row r="77" spans="1:29" ht="12.75" thickBot="1">
      <c r="A77" s="49"/>
      <c r="B77" s="744"/>
      <c r="C77" s="751" t="str">
        <f t="shared" si="34"/>
        <v>Celkové tunokm</v>
      </c>
      <c r="D77" s="752"/>
      <c r="E77" s="428">
        <f aca="true" t="shared" si="35" ref="E77:AC77">SUM(E72:E76)</f>
        <v>0</v>
      </c>
      <c r="F77" s="428">
        <f t="shared" si="35"/>
        <v>0</v>
      </c>
      <c r="G77" s="428">
        <f t="shared" si="35"/>
        <v>0</v>
      </c>
      <c r="H77" s="428">
        <f t="shared" si="35"/>
        <v>0</v>
      </c>
      <c r="I77" s="428">
        <f t="shared" si="35"/>
        <v>0</v>
      </c>
      <c r="J77" s="428">
        <f t="shared" si="35"/>
        <v>0</v>
      </c>
      <c r="K77" s="428">
        <f t="shared" si="35"/>
        <v>0</v>
      </c>
      <c r="L77" s="428">
        <f t="shared" si="35"/>
        <v>0</v>
      </c>
      <c r="M77" s="428">
        <f t="shared" si="35"/>
        <v>0</v>
      </c>
      <c r="N77" s="428">
        <f t="shared" si="35"/>
        <v>0</v>
      </c>
      <c r="O77" s="428">
        <f t="shared" si="35"/>
        <v>0</v>
      </c>
      <c r="P77" s="428">
        <f t="shared" si="35"/>
        <v>0</v>
      </c>
      <c r="Q77" s="428">
        <f t="shared" si="35"/>
        <v>0</v>
      </c>
      <c r="R77" s="428">
        <f t="shared" si="35"/>
        <v>0</v>
      </c>
      <c r="S77" s="428">
        <f t="shared" si="35"/>
        <v>0</v>
      </c>
      <c r="T77" s="428">
        <f t="shared" si="35"/>
        <v>0</v>
      </c>
      <c r="U77" s="428">
        <f t="shared" si="35"/>
        <v>0</v>
      </c>
      <c r="V77" s="428">
        <f t="shared" si="35"/>
        <v>0</v>
      </c>
      <c r="W77" s="428">
        <f t="shared" si="35"/>
        <v>0</v>
      </c>
      <c r="X77" s="428">
        <f t="shared" si="35"/>
        <v>0</v>
      </c>
      <c r="Y77" s="428">
        <f t="shared" si="35"/>
        <v>0</v>
      </c>
      <c r="Z77" s="428">
        <f t="shared" si="35"/>
        <v>0</v>
      </c>
      <c r="AA77" s="428">
        <f t="shared" si="35"/>
        <v>0</v>
      </c>
      <c r="AB77" s="428">
        <f t="shared" si="35"/>
        <v>0</v>
      </c>
      <c r="AC77" s="429">
        <f t="shared" si="35"/>
        <v>0</v>
      </c>
    </row>
    <row r="78" spans="1:29" ht="11.2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row>
    <row r="79" spans="1:29" ht="12" thickBo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row>
    <row r="80" spans="1:29" ht="12.75">
      <c r="A80" s="49"/>
      <c r="B80" s="450" t="s">
        <v>105</v>
      </c>
      <c r="C80" s="451" t="str">
        <f>C61</f>
        <v>Celkové čisté tunokm</v>
      </c>
      <c r="D80" s="1058" t="str">
        <f>D56</f>
        <v>tunokm</v>
      </c>
      <c r="E80" s="1351">
        <f>E2</f>
        <v>2014</v>
      </c>
      <c r="F80" s="1351">
        <f aca="true" t="shared" si="36" ref="F80:S80">E80+1</f>
        <v>2015</v>
      </c>
      <c r="G80" s="1351">
        <f t="shared" si="36"/>
        <v>2016</v>
      </c>
      <c r="H80" s="1351">
        <f t="shared" si="36"/>
        <v>2017</v>
      </c>
      <c r="I80" s="1351">
        <f t="shared" si="36"/>
        <v>2018</v>
      </c>
      <c r="J80" s="1351">
        <f t="shared" si="36"/>
        <v>2019</v>
      </c>
      <c r="K80" s="1351">
        <f t="shared" si="36"/>
        <v>2020</v>
      </c>
      <c r="L80" s="1351">
        <f t="shared" si="36"/>
        <v>2021</v>
      </c>
      <c r="M80" s="1351">
        <f t="shared" si="36"/>
        <v>2022</v>
      </c>
      <c r="N80" s="1351">
        <f t="shared" si="36"/>
        <v>2023</v>
      </c>
      <c r="O80" s="1351">
        <f t="shared" si="36"/>
        <v>2024</v>
      </c>
      <c r="P80" s="1351">
        <f t="shared" si="36"/>
        <v>2025</v>
      </c>
      <c r="Q80" s="1351">
        <f t="shared" si="36"/>
        <v>2026</v>
      </c>
      <c r="R80" s="1351">
        <f t="shared" si="36"/>
        <v>2027</v>
      </c>
      <c r="S80" s="1351">
        <f t="shared" si="36"/>
        <v>2028</v>
      </c>
      <c r="T80" s="1351">
        <f aca="true" t="shared" si="37" ref="T80:AC80">S80+1</f>
        <v>2029</v>
      </c>
      <c r="U80" s="1351">
        <f t="shared" si="37"/>
        <v>2030</v>
      </c>
      <c r="V80" s="1351">
        <f t="shared" si="37"/>
        <v>2031</v>
      </c>
      <c r="W80" s="1351">
        <f t="shared" si="37"/>
        <v>2032</v>
      </c>
      <c r="X80" s="1351">
        <f t="shared" si="37"/>
        <v>2033</v>
      </c>
      <c r="Y80" s="1351">
        <f t="shared" si="37"/>
        <v>2034</v>
      </c>
      <c r="Z80" s="1351">
        <f t="shared" si="37"/>
        <v>2035</v>
      </c>
      <c r="AA80" s="1351">
        <f t="shared" si="37"/>
        <v>2036</v>
      </c>
      <c r="AB80" s="1351">
        <f t="shared" si="37"/>
        <v>2037</v>
      </c>
      <c r="AC80" s="1353">
        <f t="shared" si="37"/>
        <v>2038</v>
      </c>
    </row>
    <row r="81" spans="1:29" ht="13.5" thickBot="1">
      <c r="A81" s="49"/>
      <c r="B81" s="453" t="s">
        <v>17</v>
      </c>
      <c r="C81" s="470" t="str">
        <f>C20</f>
        <v>Scénář bez projektu</v>
      </c>
      <c r="D81" s="455" t="str">
        <f>D62</f>
        <v>Celkem</v>
      </c>
      <c r="E81" s="1352"/>
      <c r="F81" s="1352"/>
      <c r="G81" s="1352"/>
      <c r="H81" s="1352"/>
      <c r="I81" s="1352"/>
      <c r="J81" s="1352"/>
      <c r="K81" s="1352"/>
      <c r="L81" s="1352"/>
      <c r="M81" s="1352"/>
      <c r="N81" s="1352"/>
      <c r="O81" s="1352"/>
      <c r="P81" s="1352"/>
      <c r="Q81" s="1352"/>
      <c r="R81" s="1352"/>
      <c r="S81" s="1352"/>
      <c r="T81" s="1352"/>
      <c r="U81" s="1352"/>
      <c r="V81" s="1352"/>
      <c r="W81" s="1352"/>
      <c r="X81" s="1352"/>
      <c r="Y81" s="1352"/>
      <c r="Z81" s="1352"/>
      <c r="AA81" s="1352"/>
      <c r="AB81" s="1352"/>
      <c r="AC81" s="1354"/>
    </row>
    <row r="82" spans="1:29" ht="12" customHeight="1">
      <c r="A82" s="49"/>
      <c r="B82" s="1382"/>
      <c r="C82" s="741" t="str">
        <f>IF('0 Úvod'!$M$3="English",Slovnik!D204,Slovnik!C204)</f>
        <v>říční doprava bezprojektová</v>
      </c>
      <c r="D82" s="425">
        <f>SUM(E82:AC82,E90:AC90)</f>
        <v>0</v>
      </c>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3"/>
    </row>
    <row r="83" spans="1:29" ht="12">
      <c r="A83" s="49"/>
      <c r="B83" s="1383"/>
      <c r="C83" s="486" t="str">
        <f>C64</f>
        <v>rezerva</v>
      </c>
      <c r="D83" s="426">
        <f>SUM(E83:AC83,E91:AC91)</f>
        <v>0</v>
      </c>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7"/>
    </row>
    <row r="84" spans="1:29" ht="12" customHeight="1">
      <c r="A84" s="49"/>
      <c r="B84" s="1382"/>
      <c r="C84" s="741" t="str">
        <f>C65</f>
        <v>Silniční doprava</v>
      </c>
      <c r="D84" s="425">
        <f>SUM(E84:AC84,E92:AC92)</f>
        <v>0</v>
      </c>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3"/>
    </row>
    <row r="85" spans="1:29" ht="12">
      <c r="A85" s="49"/>
      <c r="B85" s="1383"/>
      <c r="C85" s="743" t="str">
        <f>C66</f>
        <v>Železniční doprava</v>
      </c>
      <c r="D85" s="426">
        <f>SUM(E85:AC85,E93:AC93)</f>
        <v>0</v>
      </c>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7"/>
    </row>
    <row r="86" spans="1:29" ht="12.75" thickBot="1">
      <c r="A86" s="49"/>
      <c r="B86" s="744"/>
      <c r="C86" s="745" t="str">
        <f>C68</f>
        <v>Celkové tunokm</v>
      </c>
      <c r="D86" s="423">
        <f>SUM(E86:AC86,E94:AC94)</f>
        <v>0</v>
      </c>
      <c r="E86" s="393">
        <f aca="true" t="shared" si="38" ref="E86:AC86">SUM(E82:E85)</f>
        <v>0</v>
      </c>
      <c r="F86" s="436">
        <f t="shared" si="38"/>
        <v>0</v>
      </c>
      <c r="G86" s="436">
        <f t="shared" si="38"/>
        <v>0</v>
      </c>
      <c r="H86" s="436">
        <f t="shared" si="38"/>
        <v>0</v>
      </c>
      <c r="I86" s="436">
        <f t="shared" si="38"/>
        <v>0</v>
      </c>
      <c r="J86" s="436">
        <f t="shared" si="38"/>
        <v>0</v>
      </c>
      <c r="K86" s="436">
        <f t="shared" si="38"/>
        <v>0</v>
      </c>
      <c r="L86" s="436">
        <f t="shared" si="38"/>
        <v>0</v>
      </c>
      <c r="M86" s="436">
        <f t="shared" si="38"/>
        <v>0</v>
      </c>
      <c r="N86" s="436">
        <f t="shared" si="38"/>
        <v>0</v>
      </c>
      <c r="O86" s="436">
        <f t="shared" si="38"/>
        <v>0</v>
      </c>
      <c r="P86" s="436">
        <f t="shared" si="38"/>
        <v>0</v>
      </c>
      <c r="Q86" s="436">
        <f t="shared" si="38"/>
        <v>0</v>
      </c>
      <c r="R86" s="436">
        <f t="shared" si="38"/>
        <v>0</v>
      </c>
      <c r="S86" s="436">
        <f t="shared" si="38"/>
        <v>0</v>
      </c>
      <c r="T86" s="436">
        <f t="shared" si="38"/>
        <v>0</v>
      </c>
      <c r="U86" s="436">
        <f t="shared" si="38"/>
        <v>0</v>
      </c>
      <c r="V86" s="436">
        <f t="shared" si="38"/>
        <v>0</v>
      </c>
      <c r="W86" s="436">
        <f t="shared" si="38"/>
        <v>0</v>
      </c>
      <c r="X86" s="436">
        <f t="shared" si="38"/>
        <v>0</v>
      </c>
      <c r="Y86" s="436">
        <f t="shared" si="38"/>
        <v>0</v>
      </c>
      <c r="Z86" s="436">
        <f t="shared" si="38"/>
        <v>0</v>
      </c>
      <c r="AA86" s="436">
        <f t="shared" si="38"/>
        <v>0</v>
      </c>
      <c r="AB86" s="436">
        <f t="shared" si="38"/>
        <v>0</v>
      </c>
      <c r="AC86" s="437">
        <f t="shared" si="38"/>
        <v>0</v>
      </c>
    </row>
    <row r="87" spans="1:29" ht="12" thickBot="1">
      <c r="A87" s="49"/>
      <c r="B87" s="85"/>
      <c r="C87" s="45"/>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row>
    <row r="88" spans="1:29" ht="12.75">
      <c r="A88" s="49"/>
      <c r="B88" s="450" t="str">
        <f>B80</f>
        <v>6.6.</v>
      </c>
      <c r="C88" s="468" t="str">
        <f>C80</f>
        <v>Celkové čisté tunokm</v>
      </c>
      <c r="D88" s="469"/>
      <c r="E88" s="1351">
        <f>AC80+1</f>
        <v>2039</v>
      </c>
      <c r="F88" s="1351">
        <f aca="true" t="shared" si="39" ref="F88:S88">E88+1</f>
        <v>2040</v>
      </c>
      <c r="G88" s="1351">
        <f t="shared" si="39"/>
        <v>2041</v>
      </c>
      <c r="H88" s="1351">
        <f t="shared" si="39"/>
        <v>2042</v>
      </c>
      <c r="I88" s="1351">
        <f t="shared" si="39"/>
        <v>2043</v>
      </c>
      <c r="J88" s="1351">
        <f t="shared" si="39"/>
        <v>2044</v>
      </c>
      <c r="K88" s="1351">
        <f t="shared" si="39"/>
        <v>2045</v>
      </c>
      <c r="L88" s="1351">
        <f t="shared" si="39"/>
        <v>2046</v>
      </c>
      <c r="M88" s="1351">
        <f t="shared" si="39"/>
        <v>2047</v>
      </c>
      <c r="N88" s="1351">
        <f t="shared" si="39"/>
        <v>2048</v>
      </c>
      <c r="O88" s="1351">
        <f t="shared" si="39"/>
        <v>2049</v>
      </c>
      <c r="P88" s="1351">
        <f t="shared" si="39"/>
        <v>2050</v>
      </c>
      <c r="Q88" s="1351">
        <f t="shared" si="39"/>
        <v>2051</v>
      </c>
      <c r="R88" s="1351">
        <f t="shared" si="39"/>
        <v>2052</v>
      </c>
      <c r="S88" s="1351">
        <f t="shared" si="39"/>
        <v>2053</v>
      </c>
      <c r="T88" s="1351">
        <f aca="true" t="shared" si="40" ref="T88:AC88">S88+1</f>
        <v>2054</v>
      </c>
      <c r="U88" s="1351">
        <f t="shared" si="40"/>
        <v>2055</v>
      </c>
      <c r="V88" s="1351">
        <f t="shared" si="40"/>
        <v>2056</v>
      </c>
      <c r="W88" s="1351">
        <f t="shared" si="40"/>
        <v>2057</v>
      </c>
      <c r="X88" s="1351">
        <f t="shared" si="40"/>
        <v>2058</v>
      </c>
      <c r="Y88" s="1351">
        <f t="shared" si="40"/>
        <v>2059</v>
      </c>
      <c r="Z88" s="1351">
        <f t="shared" si="40"/>
        <v>2060</v>
      </c>
      <c r="AA88" s="1351">
        <f t="shared" si="40"/>
        <v>2061</v>
      </c>
      <c r="AB88" s="1351">
        <f t="shared" si="40"/>
        <v>2062</v>
      </c>
      <c r="AC88" s="1353">
        <f t="shared" si="40"/>
        <v>2063</v>
      </c>
    </row>
    <row r="89" spans="1:29" ht="13.5" thickBot="1">
      <c r="A89" s="49"/>
      <c r="B89" s="453" t="s">
        <v>19</v>
      </c>
      <c r="C89" s="458" t="str">
        <f>C81</f>
        <v>Scénář bez projektu</v>
      </c>
      <c r="D89" s="459"/>
      <c r="E89" s="1352"/>
      <c r="F89" s="1352"/>
      <c r="G89" s="1352"/>
      <c r="H89" s="1352"/>
      <c r="I89" s="1352"/>
      <c r="J89" s="1352"/>
      <c r="K89" s="1352"/>
      <c r="L89" s="1352"/>
      <c r="M89" s="1352"/>
      <c r="N89" s="1352"/>
      <c r="O89" s="1352"/>
      <c r="P89" s="1352"/>
      <c r="Q89" s="1352"/>
      <c r="R89" s="1352"/>
      <c r="S89" s="1352"/>
      <c r="T89" s="1352"/>
      <c r="U89" s="1352"/>
      <c r="V89" s="1352"/>
      <c r="W89" s="1352"/>
      <c r="X89" s="1352"/>
      <c r="Y89" s="1352"/>
      <c r="Z89" s="1352"/>
      <c r="AA89" s="1352"/>
      <c r="AB89" s="1352"/>
      <c r="AC89" s="1354"/>
    </row>
    <row r="90" spans="1:29" ht="12">
      <c r="A90" s="49"/>
      <c r="B90" s="1382"/>
      <c r="C90" s="746" t="str">
        <f>C82</f>
        <v>říční doprava bezprojektová</v>
      </c>
      <c r="D90" s="747"/>
      <c r="E90" s="446"/>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7"/>
    </row>
    <row r="91" spans="1:29" ht="12">
      <c r="A91" s="49"/>
      <c r="B91" s="1383"/>
      <c r="C91" s="487" t="str">
        <f>C64</f>
        <v>rezerva</v>
      </c>
      <c r="D91" s="754"/>
      <c r="E91" s="478"/>
      <c r="F91" s="478"/>
      <c r="G91" s="478"/>
      <c r="H91" s="478"/>
      <c r="I91" s="478"/>
      <c r="J91" s="478"/>
      <c r="K91" s="478"/>
      <c r="L91" s="478"/>
      <c r="M91" s="478"/>
      <c r="N91" s="478"/>
      <c r="O91" s="478"/>
      <c r="P91" s="478"/>
      <c r="Q91" s="478"/>
      <c r="R91" s="478"/>
      <c r="S91" s="478"/>
      <c r="T91" s="478"/>
      <c r="U91" s="478"/>
      <c r="V91" s="478"/>
      <c r="W91" s="478"/>
      <c r="X91" s="478"/>
      <c r="Y91" s="478"/>
      <c r="Z91" s="478"/>
      <c r="AA91" s="478"/>
      <c r="AB91" s="478"/>
      <c r="AC91" s="479"/>
    </row>
    <row r="92" spans="1:29" ht="12">
      <c r="A92" s="49"/>
      <c r="B92" s="1382"/>
      <c r="C92" s="746" t="str">
        <f>C84</f>
        <v>Silniční doprava</v>
      </c>
      <c r="D92" s="747"/>
      <c r="E92" s="446"/>
      <c r="F92" s="446"/>
      <c r="G92" s="446"/>
      <c r="H92" s="446"/>
      <c r="I92" s="446"/>
      <c r="J92" s="446"/>
      <c r="K92" s="446"/>
      <c r="L92" s="446"/>
      <c r="M92" s="446"/>
      <c r="N92" s="446"/>
      <c r="O92" s="446"/>
      <c r="P92" s="446"/>
      <c r="Q92" s="446"/>
      <c r="R92" s="446"/>
      <c r="S92" s="446"/>
      <c r="T92" s="446"/>
      <c r="U92" s="446"/>
      <c r="V92" s="446"/>
      <c r="W92" s="446"/>
      <c r="X92" s="446"/>
      <c r="Y92" s="446"/>
      <c r="Z92" s="446"/>
      <c r="AA92" s="446"/>
      <c r="AB92" s="446"/>
      <c r="AC92" s="447"/>
    </row>
    <row r="93" spans="1:29" ht="12">
      <c r="A93" s="49"/>
      <c r="B93" s="1383"/>
      <c r="C93" s="749" t="str">
        <f>C85</f>
        <v>Železniční doprava</v>
      </c>
      <c r="D93" s="754"/>
      <c r="E93" s="478"/>
      <c r="F93" s="478"/>
      <c r="G93" s="478"/>
      <c r="H93" s="478"/>
      <c r="I93" s="478"/>
      <c r="J93" s="478"/>
      <c r="K93" s="478"/>
      <c r="L93" s="478"/>
      <c r="M93" s="478"/>
      <c r="N93" s="478"/>
      <c r="O93" s="478"/>
      <c r="P93" s="478"/>
      <c r="Q93" s="478"/>
      <c r="R93" s="478"/>
      <c r="S93" s="478"/>
      <c r="T93" s="478"/>
      <c r="U93" s="478"/>
      <c r="V93" s="478"/>
      <c r="W93" s="478"/>
      <c r="X93" s="478"/>
      <c r="Y93" s="478"/>
      <c r="Z93" s="478"/>
      <c r="AA93" s="478"/>
      <c r="AB93" s="478"/>
      <c r="AC93" s="479"/>
    </row>
    <row r="94" spans="1:29" ht="12.75" thickBot="1">
      <c r="A94" s="49"/>
      <c r="B94" s="744"/>
      <c r="C94" s="751" t="str">
        <f>C86</f>
        <v>Celkové tunokm</v>
      </c>
      <c r="D94" s="752"/>
      <c r="E94" s="428">
        <f aca="true" t="shared" si="41" ref="E94:AC94">SUM(E90:E93)</f>
        <v>0</v>
      </c>
      <c r="F94" s="428">
        <f t="shared" si="41"/>
        <v>0</v>
      </c>
      <c r="G94" s="428">
        <f t="shared" si="41"/>
        <v>0</v>
      </c>
      <c r="H94" s="428">
        <f t="shared" si="41"/>
        <v>0</v>
      </c>
      <c r="I94" s="428">
        <f t="shared" si="41"/>
        <v>0</v>
      </c>
      <c r="J94" s="428">
        <f t="shared" si="41"/>
        <v>0</v>
      </c>
      <c r="K94" s="428">
        <f t="shared" si="41"/>
        <v>0</v>
      </c>
      <c r="L94" s="428">
        <f t="shared" si="41"/>
        <v>0</v>
      </c>
      <c r="M94" s="428">
        <f t="shared" si="41"/>
        <v>0</v>
      </c>
      <c r="N94" s="428">
        <f t="shared" si="41"/>
        <v>0</v>
      </c>
      <c r="O94" s="428">
        <f t="shared" si="41"/>
        <v>0</v>
      </c>
      <c r="P94" s="428">
        <f t="shared" si="41"/>
        <v>0</v>
      </c>
      <c r="Q94" s="428">
        <f t="shared" si="41"/>
        <v>0</v>
      </c>
      <c r="R94" s="428">
        <f t="shared" si="41"/>
        <v>0</v>
      </c>
      <c r="S94" s="428">
        <f t="shared" si="41"/>
        <v>0</v>
      </c>
      <c r="T94" s="428">
        <f t="shared" si="41"/>
        <v>0</v>
      </c>
      <c r="U94" s="428">
        <f t="shared" si="41"/>
        <v>0</v>
      </c>
      <c r="V94" s="428">
        <f t="shared" si="41"/>
        <v>0</v>
      </c>
      <c r="W94" s="428">
        <f t="shared" si="41"/>
        <v>0</v>
      </c>
      <c r="X94" s="428">
        <f t="shared" si="41"/>
        <v>0</v>
      </c>
      <c r="Y94" s="428">
        <f t="shared" si="41"/>
        <v>0</v>
      </c>
      <c r="Z94" s="428">
        <f t="shared" si="41"/>
        <v>0</v>
      </c>
      <c r="AA94" s="428">
        <f t="shared" si="41"/>
        <v>0</v>
      </c>
      <c r="AB94" s="428">
        <f t="shared" si="41"/>
        <v>0</v>
      </c>
      <c r="AC94" s="429">
        <f t="shared" si="41"/>
        <v>0</v>
      </c>
    </row>
    <row r="95" spans="1:19" ht="11.25">
      <c r="A95" s="49"/>
      <c r="B95" s="49"/>
      <c r="C95" s="49"/>
      <c r="D95" s="49"/>
      <c r="E95" s="49"/>
      <c r="F95" s="49"/>
      <c r="G95" s="49"/>
      <c r="H95" s="49"/>
      <c r="I95" s="49"/>
      <c r="J95" s="49"/>
      <c r="K95" s="49"/>
      <c r="L95" s="49"/>
      <c r="M95" s="49"/>
      <c r="N95" s="49"/>
      <c r="O95" s="49"/>
      <c r="P95" s="49"/>
      <c r="Q95" s="49"/>
      <c r="R95" s="49"/>
      <c r="S95" s="49"/>
    </row>
    <row r="96" spans="1:19" ht="12.75" thickBot="1">
      <c r="A96" s="49"/>
      <c r="B96" s="69"/>
      <c r="C96" s="49"/>
      <c r="D96" s="49"/>
      <c r="E96" s="49"/>
      <c r="F96" s="49"/>
      <c r="G96" s="49"/>
      <c r="H96" s="49"/>
      <c r="I96" s="49"/>
      <c r="J96" s="49"/>
      <c r="K96" s="49"/>
      <c r="L96" s="49"/>
      <c r="M96" s="49"/>
      <c r="N96" s="49"/>
      <c r="O96" s="49"/>
      <c r="P96" s="49"/>
      <c r="Q96" s="49"/>
      <c r="R96" s="49"/>
      <c r="S96" s="49"/>
    </row>
    <row r="97" spans="2:16" ht="11.25">
      <c r="B97" s="1355" t="str">
        <f>IF('0 Úvod'!$M$3="English",Slovnik!D205,Slovnik!C205)</f>
        <v>Komentáře</v>
      </c>
      <c r="C97" s="1356"/>
      <c r="D97" s="1356"/>
      <c r="E97" s="1356"/>
      <c r="F97" s="1356"/>
      <c r="G97" s="1356"/>
      <c r="H97" s="1356"/>
      <c r="I97" s="1356"/>
      <c r="J97" s="1356"/>
      <c r="K97" s="1356"/>
      <c r="L97" s="1356"/>
      <c r="M97" s="1356"/>
      <c r="N97" s="1356"/>
      <c r="O97" s="1356"/>
      <c r="P97" s="1357"/>
    </row>
    <row r="98" spans="2:16" ht="12" thickBot="1">
      <c r="B98" s="1394"/>
      <c r="C98" s="1395"/>
      <c r="D98" s="1395"/>
      <c r="E98" s="1395"/>
      <c r="F98" s="1395"/>
      <c r="G98" s="1395"/>
      <c r="H98" s="1395"/>
      <c r="I98" s="1395"/>
      <c r="J98" s="1395"/>
      <c r="K98" s="1395"/>
      <c r="L98" s="1395"/>
      <c r="M98" s="1395"/>
      <c r="N98" s="1395"/>
      <c r="O98" s="1395"/>
      <c r="P98" s="1396"/>
    </row>
    <row r="99" spans="2:16" ht="12.75" customHeight="1">
      <c r="B99" s="1367"/>
      <c r="C99" s="1368"/>
      <c r="D99" s="1368"/>
      <c r="E99" s="1368"/>
      <c r="F99" s="1368"/>
      <c r="G99" s="1368"/>
      <c r="H99" s="1368"/>
      <c r="I99" s="1368"/>
      <c r="J99" s="1368"/>
      <c r="K99" s="1368"/>
      <c r="L99" s="1368"/>
      <c r="M99" s="1368"/>
      <c r="N99" s="1368"/>
      <c r="O99" s="1368"/>
      <c r="P99" s="1369"/>
    </row>
    <row r="100" spans="2:16" ht="12.75" customHeight="1">
      <c r="B100" s="1370"/>
      <c r="C100" s="1371"/>
      <c r="D100" s="1371"/>
      <c r="E100" s="1371"/>
      <c r="F100" s="1371"/>
      <c r="G100" s="1371"/>
      <c r="H100" s="1371"/>
      <c r="I100" s="1371"/>
      <c r="J100" s="1371"/>
      <c r="K100" s="1371"/>
      <c r="L100" s="1371"/>
      <c r="M100" s="1371"/>
      <c r="N100" s="1371"/>
      <c r="O100" s="1371"/>
      <c r="P100" s="1372"/>
    </row>
    <row r="101" spans="2:16" ht="12.75" customHeight="1" thickBot="1">
      <c r="B101" s="1373"/>
      <c r="C101" s="1374"/>
      <c r="D101" s="1374"/>
      <c r="E101" s="1374"/>
      <c r="F101" s="1374"/>
      <c r="G101" s="1374"/>
      <c r="H101" s="1374"/>
      <c r="I101" s="1374"/>
      <c r="J101" s="1374"/>
      <c r="K101" s="1374"/>
      <c r="L101" s="1374"/>
      <c r="M101" s="1374"/>
      <c r="N101" s="1374"/>
      <c r="O101" s="1374"/>
      <c r="P101" s="1375"/>
    </row>
  </sheetData>
  <sheetProtection/>
  <mergeCells count="269">
    <mergeCell ref="B97:P98"/>
    <mergeCell ref="I44:I45"/>
    <mergeCell ref="J44:J45"/>
    <mergeCell ref="K44:K45"/>
    <mergeCell ref="E44:E45"/>
    <mergeCell ref="N44:N45"/>
    <mergeCell ref="O44:O45"/>
    <mergeCell ref="P44:P45"/>
    <mergeCell ref="F44:F45"/>
    <mergeCell ref="L61:L62"/>
    <mergeCell ref="G44:G45"/>
    <mergeCell ref="H44:H45"/>
    <mergeCell ref="N61:N62"/>
    <mergeCell ref="O61:O62"/>
    <mergeCell ref="F70:F71"/>
    <mergeCell ref="G70:G71"/>
    <mergeCell ref="B63:B64"/>
    <mergeCell ref="B65:B66"/>
    <mergeCell ref="E70:E71"/>
    <mergeCell ref="F88:F89"/>
    <mergeCell ref="G88:G89"/>
    <mergeCell ref="H88:H89"/>
    <mergeCell ref="I88:I89"/>
    <mergeCell ref="B72:B73"/>
    <mergeCell ref="H19:H20"/>
    <mergeCell ref="K27:K28"/>
    <mergeCell ref="L27:L28"/>
    <mergeCell ref="M27:M28"/>
    <mergeCell ref="H27:H28"/>
    <mergeCell ref="S44:S45"/>
    <mergeCell ref="L44:L45"/>
    <mergeCell ref="M44:M45"/>
    <mergeCell ref="R36:R37"/>
    <mergeCell ref="N36:N37"/>
    <mergeCell ref="L36:L37"/>
    <mergeCell ref="Q44:Q45"/>
    <mergeCell ref="R44:R45"/>
    <mergeCell ref="S36:S37"/>
    <mergeCell ref="O36:O37"/>
    <mergeCell ref="M36:M37"/>
    <mergeCell ref="P36:P37"/>
    <mergeCell ref="Q36:Q37"/>
    <mergeCell ref="R27:R28"/>
    <mergeCell ref="K19:K20"/>
    <mergeCell ref="R19:R20"/>
    <mergeCell ref="S27:S28"/>
    <mergeCell ref="P27:P28"/>
    <mergeCell ref="Q27:Q28"/>
    <mergeCell ref="N27:N28"/>
    <mergeCell ref="Q19:Q20"/>
    <mergeCell ref="S19:S20"/>
    <mergeCell ref="R10:R11"/>
    <mergeCell ref="O10:O11"/>
    <mergeCell ref="P19:P20"/>
    <mergeCell ref="O27:O28"/>
    <mergeCell ref="I19:I20"/>
    <mergeCell ref="O19:O20"/>
    <mergeCell ref="J27:J28"/>
    <mergeCell ref="L19:L20"/>
    <mergeCell ref="J19:J20"/>
    <mergeCell ref="I27:I28"/>
    <mergeCell ref="K10:K11"/>
    <mergeCell ref="L10:L11"/>
    <mergeCell ref="M10:M11"/>
    <mergeCell ref="M19:M20"/>
    <mergeCell ref="N19:N20"/>
    <mergeCell ref="N10:N11"/>
    <mergeCell ref="S2:S3"/>
    <mergeCell ref="P2:P3"/>
    <mergeCell ref="Q2:Q3"/>
    <mergeCell ref="R2:R3"/>
    <mergeCell ref="H2:H3"/>
    <mergeCell ref="I2:I3"/>
    <mergeCell ref="J2:J3"/>
    <mergeCell ref="H10:H11"/>
    <mergeCell ref="I10:I11"/>
    <mergeCell ref="J10:J11"/>
    <mergeCell ref="P10:P11"/>
    <mergeCell ref="Q10:Q11"/>
    <mergeCell ref="M2:M3"/>
    <mergeCell ref="O2:O3"/>
    <mergeCell ref="N2:N3"/>
    <mergeCell ref="K2:K3"/>
    <mergeCell ref="L2:L3"/>
    <mergeCell ref="S10:S11"/>
    <mergeCell ref="E19:E20"/>
    <mergeCell ref="F19:F20"/>
    <mergeCell ref="F10:F11"/>
    <mergeCell ref="G2:G3"/>
    <mergeCell ref="G19:G20"/>
    <mergeCell ref="G10:G11"/>
    <mergeCell ref="E10:E11"/>
    <mergeCell ref="F2:F3"/>
    <mergeCell ref="E2:E3"/>
    <mergeCell ref="E27:E28"/>
    <mergeCell ref="E61:E62"/>
    <mergeCell ref="F61:F62"/>
    <mergeCell ref="G61:G62"/>
    <mergeCell ref="F27:F28"/>
    <mergeCell ref="G27:G28"/>
    <mergeCell ref="E36:E37"/>
    <mergeCell ref="F36:F37"/>
    <mergeCell ref="M61:M62"/>
    <mergeCell ref="H61:H62"/>
    <mergeCell ref="I61:I62"/>
    <mergeCell ref="J61:J62"/>
    <mergeCell ref="K61:K62"/>
    <mergeCell ref="H36:H37"/>
    <mergeCell ref="I36:I37"/>
    <mergeCell ref="J36:J37"/>
    <mergeCell ref="K36:K37"/>
    <mergeCell ref="G36:G37"/>
    <mergeCell ref="D56:E56"/>
    <mergeCell ref="F56:G56"/>
    <mergeCell ref="D57:E57"/>
    <mergeCell ref="F57:G57"/>
    <mergeCell ref="D58:E58"/>
    <mergeCell ref="F58:G58"/>
    <mergeCell ref="B74:B75"/>
    <mergeCell ref="N70:N71"/>
    <mergeCell ref="O70:O71"/>
    <mergeCell ref="J70:J71"/>
    <mergeCell ref="K70:K71"/>
    <mergeCell ref="L70:L71"/>
    <mergeCell ref="M70:M71"/>
    <mergeCell ref="R70:R71"/>
    <mergeCell ref="H70:H71"/>
    <mergeCell ref="I70:I71"/>
    <mergeCell ref="P61:P62"/>
    <mergeCell ref="Q61:Q62"/>
    <mergeCell ref="R61:R62"/>
    <mergeCell ref="S70:S71"/>
    <mergeCell ref="P70:P71"/>
    <mergeCell ref="Q70:Q71"/>
    <mergeCell ref="S61:S62"/>
    <mergeCell ref="E80:E81"/>
    <mergeCell ref="F80:F81"/>
    <mergeCell ref="G80:G81"/>
    <mergeCell ref="H80:H81"/>
    <mergeCell ref="I80:I81"/>
    <mergeCell ref="R80:R81"/>
    <mergeCell ref="P80:P81"/>
    <mergeCell ref="O80:O81"/>
    <mergeCell ref="Q80:Q81"/>
    <mergeCell ref="E88:E89"/>
    <mergeCell ref="L88:L89"/>
    <mergeCell ref="B82:B83"/>
    <mergeCell ref="B84:B85"/>
    <mergeCell ref="B92:B93"/>
    <mergeCell ref="B90:B91"/>
    <mergeCell ref="T61:T62"/>
    <mergeCell ref="T80:T81"/>
    <mergeCell ref="T88:T89"/>
    <mergeCell ref="S88:S89"/>
    <mergeCell ref="Q88:Q89"/>
    <mergeCell ref="J80:J81"/>
    <mergeCell ref="K80:K81"/>
    <mergeCell ref="S80:S81"/>
    <mergeCell ref="L80:L81"/>
    <mergeCell ref="M80:M81"/>
    <mergeCell ref="N80:N81"/>
    <mergeCell ref="R88:R89"/>
    <mergeCell ref="M88:M89"/>
    <mergeCell ref="N88:N89"/>
    <mergeCell ref="O88:O89"/>
    <mergeCell ref="P88:P89"/>
    <mergeCell ref="J88:J89"/>
    <mergeCell ref="K88:K89"/>
    <mergeCell ref="Z61:Z62"/>
    <mergeCell ref="AA61:AA62"/>
    <mergeCell ref="AB61:AB62"/>
    <mergeCell ref="AC61:AC62"/>
    <mergeCell ref="T70:T71"/>
    <mergeCell ref="U70:U71"/>
    <mergeCell ref="V70:V71"/>
    <mergeCell ref="W70:W71"/>
    <mergeCell ref="X70:X71"/>
    <mergeCell ref="Y70:Y71"/>
    <mergeCell ref="Z70:Z71"/>
    <mergeCell ref="AA70:AA71"/>
    <mergeCell ref="AB70:AB71"/>
    <mergeCell ref="AC70:AC71"/>
    <mergeCell ref="U61:U62"/>
    <mergeCell ref="V61:V62"/>
    <mergeCell ref="W61:W62"/>
    <mergeCell ref="X61:X62"/>
    <mergeCell ref="Y61:Y62"/>
    <mergeCell ref="Y80:Y81"/>
    <mergeCell ref="Z80:Z81"/>
    <mergeCell ref="AA80:AA81"/>
    <mergeCell ref="AB80:AB81"/>
    <mergeCell ref="AC80:AC81"/>
    <mergeCell ref="U88:U89"/>
    <mergeCell ref="V88:V89"/>
    <mergeCell ref="W88:W89"/>
    <mergeCell ref="X88:X89"/>
    <mergeCell ref="Y88:Y89"/>
    <mergeCell ref="Z88:Z89"/>
    <mergeCell ref="AA88:AA89"/>
    <mergeCell ref="AB88:AB89"/>
    <mergeCell ref="AC88:AC89"/>
    <mergeCell ref="U80:U81"/>
    <mergeCell ref="V80:V81"/>
    <mergeCell ref="W80:W81"/>
    <mergeCell ref="X80:X81"/>
    <mergeCell ref="AB2:AB3"/>
    <mergeCell ref="AC2:AC3"/>
    <mergeCell ref="T10:T11"/>
    <mergeCell ref="U10:U11"/>
    <mergeCell ref="V10:V11"/>
    <mergeCell ref="W10:W11"/>
    <mergeCell ref="X10:X11"/>
    <mergeCell ref="Y10:Y11"/>
    <mergeCell ref="Z10:Z11"/>
    <mergeCell ref="AA10:AA11"/>
    <mergeCell ref="AB10:AB11"/>
    <mergeCell ref="AC10:AC11"/>
    <mergeCell ref="T2:T3"/>
    <mergeCell ref="U2:U3"/>
    <mergeCell ref="V2:V3"/>
    <mergeCell ref="W2:W3"/>
    <mergeCell ref="X2:X3"/>
    <mergeCell ref="Y2:Y3"/>
    <mergeCell ref="Z2:Z3"/>
    <mergeCell ref="AA2:AA3"/>
    <mergeCell ref="AB19:AB20"/>
    <mergeCell ref="AC19:AC20"/>
    <mergeCell ref="T27:T28"/>
    <mergeCell ref="U27:U28"/>
    <mergeCell ref="V27:V28"/>
    <mergeCell ref="W27:W28"/>
    <mergeCell ref="X27:X28"/>
    <mergeCell ref="Y27:Y28"/>
    <mergeCell ref="Z27:Z28"/>
    <mergeCell ref="AA27:AA28"/>
    <mergeCell ref="AB27:AB28"/>
    <mergeCell ref="AC27:AC28"/>
    <mergeCell ref="T19:T20"/>
    <mergeCell ref="U19:U20"/>
    <mergeCell ref="V19:V20"/>
    <mergeCell ref="W19:W20"/>
    <mergeCell ref="X19:X20"/>
    <mergeCell ref="Y19:Y20"/>
    <mergeCell ref="Z19:Z20"/>
    <mergeCell ref="AA19:AA20"/>
    <mergeCell ref="B99:P101"/>
    <mergeCell ref="AB44:AB45"/>
    <mergeCell ref="AC44:AC45"/>
    <mergeCell ref="Y36:Y37"/>
    <mergeCell ref="Z36:Z37"/>
    <mergeCell ref="AA36:AA37"/>
    <mergeCell ref="AB36:AB37"/>
    <mergeCell ref="AC36:AC37"/>
    <mergeCell ref="D53:E53"/>
    <mergeCell ref="F53:G53"/>
    <mergeCell ref="H53:J53"/>
    <mergeCell ref="T44:T45"/>
    <mergeCell ref="T36:T37"/>
    <mergeCell ref="U36:U37"/>
    <mergeCell ref="V36:V37"/>
    <mergeCell ref="W36:W37"/>
    <mergeCell ref="X36:X37"/>
    <mergeCell ref="U44:U45"/>
    <mergeCell ref="V44:V45"/>
    <mergeCell ref="W44:W45"/>
    <mergeCell ref="X44:X45"/>
    <mergeCell ref="Y44:Y45"/>
    <mergeCell ref="Z44:Z45"/>
    <mergeCell ref="AA44:AA45"/>
  </mergeCells>
  <printOptions horizontalCentered="1" verticalCentered="1"/>
  <pageMargins left="0.1968503937007874" right="0.15748031496062992" top="0.7874015748031497" bottom="0.7874015748031497" header="0.3937007874015748" footer="0.3937007874015748"/>
  <pageSetup horizontalDpi="600" verticalDpi="600" orientation="landscape" paperSize="9" scale="38" r:id="rId2"/>
  <headerFooter alignWithMargins="0">
    <oddFooter>&amp;L&amp;A&amp;C25.2.2013</oddFooter>
  </headerFooter>
  <legacyDrawing r:id="rId1"/>
</worksheet>
</file>

<file path=xl/worksheets/sheet8.xml><?xml version="1.0" encoding="utf-8"?>
<worksheet xmlns="http://schemas.openxmlformats.org/spreadsheetml/2006/main" xmlns:r="http://schemas.openxmlformats.org/officeDocument/2006/relationships">
  <sheetPr codeName="List25">
    <tabColor theme="9" tint="0.39998000860214233"/>
    <pageSetUpPr fitToPage="1"/>
  </sheetPr>
  <dimension ref="A1:AC204"/>
  <sheetViews>
    <sheetView zoomScale="80" zoomScaleNormal="80" zoomScaleSheetLayoutView="80" zoomScalePageLayoutView="0" workbookViewId="0" topLeftCell="A118">
      <selection activeCell="E4" sqref="E4"/>
    </sheetView>
  </sheetViews>
  <sheetFormatPr defaultColWidth="9.140625" defaultRowHeight="12.75"/>
  <cols>
    <col min="1" max="1" width="2.421875" style="95" customWidth="1"/>
    <col min="2" max="2" width="9.00390625" style="95" customWidth="1"/>
    <col min="3" max="3" width="42.140625" style="95" customWidth="1"/>
    <col min="4" max="4" width="12.7109375" style="95" customWidth="1"/>
    <col min="5" max="19" width="10.7109375" style="95" customWidth="1"/>
    <col min="20" max="29" width="10.57421875" style="95" customWidth="1"/>
    <col min="30" max="34" width="7.140625" style="95" customWidth="1"/>
    <col min="35" max="16384" width="9.140625" style="95" customWidth="1"/>
  </cols>
  <sheetData>
    <row r="1" spans="1:20" ht="12" thickBot="1">
      <c r="A1" s="56"/>
      <c r="B1" s="56"/>
      <c r="C1" s="56"/>
      <c r="D1" s="56"/>
      <c r="E1" s="57"/>
      <c r="F1" s="56"/>
      <c r="G1" s="56"/>
      <c r="H1" s="56"/>
      <c r="I1" s="56"/>
      <c r="J1" s="56"/>
      <c r="K1" s="56"/>
      <c r="L1" s="56"/>
      <c r="M1" s="56"/>
      <c r="N1" s="56"/>
      <c r="O1" s="56"/>
      <c r="P1" s="56"/>
      <c r="Q1" s="56"/>
      <c r="R1" s="56"/>
      <c r="S1" s="56"/>
      <c r="T1" s="58"/>
    </row>
    <row r="2" spans="1:29" ht="12.75">
      <c r="A2" s="58"/>
      <c r="B2" s="410" t="s">
        <v>20</v>
      </c>
      <c r="C2" s="409" t="str">
        <f>IF('0 Úvod'!$M$3="English",Slovnik!D207,Slovnik!C207)</f>
        <v>Externí náklady</v>
      </c>
      <c r="D2" s="1011" t="s">
        <v>134</v>
      </c>
      <c r="E2" s="1363">
        <f>'1 CIN'!G3</f>
        <v>2014</v>
      </c>
      <c r="F2" s="1363">
        <f aca="true" t="shared" si="0" ref="F2:S2">E2+1</f>
        <v>2015</v>
      </c>
      <c r="G2" s="1363">
        <f t="shared" si="0"/>
        <v>2016</v>
      </c>
      <c r="H2" s="1363">
        <f t="shared" si="0"/>
        <v>2017</v>
      </c>
      <c r="I2" s="1363">
        <f t="shared" si="0"/>
        <v>2018</v>
      </c>
      <c r="J2" s="1363">
        <f t="shared" si="0"/>
        <v>2019</v>
      </c>
      <c r="K2" s="1363">
        <f t="shared" si="0"/>
        <v>2020</v>
      </c>
      <c r="L2" s="1363">
        <f t="shared" si="0"/>
        <v>2021</v>
      </c>
      <c r="M2" s="1363">
        <f t="shared" si="0"/>
        <v>2022</v>
      </c>
      <c r="N2" s="1363">
        <f t="shared" si="0"/>
        <v>2023</v>
      </c>
      <c r="O2" s="1363">
        <f t="shared" si="0"/>
        <v>2024</v>
      </c>
      <c r="P2" s="1363">
        <f t="shared" si="0"/>
        <v>2025</v>
      </c>
      <c r="Q2" s="1363">
        <f t="shared" si="0"/>
        <v>2026</v>
      </c>
      <c r="R2" s="1363">
        <f t="shared" si="0"/>
        <v>2027</v>
      </c>
      <c r="S2" s="1363">
        <f t="shared" si="0"/>
        <v>2028</v>
      </c>
      <c r="T2" s="1363">
        <f aca="true" t="shared" si="1" ref="T2:AC2">S2+1</f>
        <v>2029</v>
      </c>
      <c r="U2" s="1363">
        <f t="shared" si="1"/>
        <v>2030</v>
      </c>
      <c r="V2" s="1363">
        <f t="shared" si="1"/>
        <v>2031</v>
      </c>
      <c r="W2" s="1363">
        <f t="shared" si="1"/>
        <v>2032</v>
      </c>
      <c r="X2" s="1363">
        <f t="shared" si="1"/>
        <v>2033</v>
      </c>
      <c r="Y2" s="1363">
        <f t="shared" si="1"/>
        <v>2034</v>
      </c>
      <c r="Z2" s="1363">
        <f t="shared" si="1"/>
        <v>2035</v>
      </c>
      <c r="AA2" s="1363">
        <f t="shared" si="1"/>
        <v>2036</v>
      </c>
      <c r="AB2" s="1363">
        <f t="shared" si="1"/>
        <v>2037</v>
      </c>
      <c r="AC2" s="1361">
        <f t="shared" si="1"/>
        <v>2038</v>
      </c>
    </row>
    <row r="3" spans="1:29" ht="13.5" thickBot="1">
      <c r="A3" s="56"/>
      <c r="B3" s="411" t="s">
        <v>17</v>
      </c>
      <c r="C3" s="412" t="str">
        <f>IF('0 Úvod'!$M$3="English",Slovnik!D208,Slovnik!C208)</f>
        <v>Scénář s projektem</v>
      </c>
      <c r="D3" s="417" t="str">
        <f>IF('0 Úvod'!$M$3="English",Slovnik!D244,Slovnik!C244)</f>
        <v>Celkem</v>
      </c>
      <c r="E3" s="1364"/>
      <c r="F3" s="1364"/>
      <c r="G3" s="1364"/>
      <c r="H3" s="1364"/>
      <c r="I3" s="1364"/>
      <c r="J3" s="1364"/>
      <c r="K3" s="1364"/>
      <c r="L3" s="1364"/>
      <c r="M3" s="1364"/>
      <c r="N3" s="1364"/>
      <c r="O3" s="1364"/>
      <c r="P3" s="1364"/>
      <c r="Q3" s="1364"/>
      <c r="R3" s="1364"/>
      <c r="S3" s="1364"/>
      <c r="T3" s="1364"/>
      <c r="U3" s="1364"/>
      <c r="V3" s="1364"/>
      <c r="W3" s="1364"/>
      <c r="X3" s="1364"/>
      <c r="Y3" s="1364"/>
      <c r="Z3" s="1364"/>
      <c r="AA3" s="1364"/>
      <c r="AB3" s="1364"/>
      <c r="AC3" s="1362"/>
    </row>
    <row r="4" spans="1:29" ht="12">
      <c r="A4" s="45"/>
      <c r="B4" s="1430" t="str">
        <f>IF('0 Úvod'!$M$3="English",Slovnik!D215,Slovnik!C215)</f>
        <v>Osobní doprava</v>
      </c>
      <c r="C4" s="571" t="str">
        <f>IF('0 Úvod'!$M$3="English",Slovnik!D209,Slovnik!C209)</f>
        <v>Nehody</v>
      </c>
      <c r="D4" s="418">
        <f aca="true" t="shared" si="2" ref="D4:D12">SUM(E4:AC4,E16:AC16)</f>
        <v>0</v>
      </c>
      <c r="E4" s="892">
        <f>E$108*E152+E$109*E160+E$110*E168</f>
        <v>0</v>
      </c>
      <c r="F4" s="893">
        <f>F$108*F152+F$109*F160+F$110*F168</f>
        <v>0</v>
      </c>
      <c r="G4" s="893">
        <f>G$108*G152+G$109*G160+G$110*G168</f>
        <v>0</v>
      </c>
      <c r="H4" s="893">
        <f aca="true" t="shared" si="3" ref="H4:AC4">H$108*H152+H$109*H160+H$110*H168</f>
        <v>0</v>
      </c>
      <c r="I4" s="893">
        <f t="shared" si="3"/>
        <v>0</v>
      </c>
      <c r="J4" s="893">
        <f t="shared" si="3"/>
        <v>0</v>
      </c>
      <c r="K4" s="893">
        <f t="shared" si="3"/>
        <v>0</v>
      </c>
      <c r="L4" s="893">
        <f t="shared" si="3"/>
        <v>0</v>
      </c>
      <c r="M4" s="893">
        <f t="shared" si="3"/>
        <v>0</v>
      </c>
      <c r="N4" s="893">
        <f t="shared" si="3"/>
        <v>0</v>
      </c>
      <c r="O4" s="893">
        <f t="shared" si="3"/>
        <v>0</v>
      </c>
      <c r="P4" s="893">
        <f t="shared" si="3"/>
        <v>0</v>
      </c>
      <c r="Q4" s="893">
        <f t="shared" si="3"/>
        <v>0</v>
      </c>
      <c r="R4" s="893">
        <f t="shared" si="3"/>
        <v>0</v>
      </c>
      <c r="S4" s="893">
        <f t="shared" si="3"/>
        <v>0</v>
      </c>
      <c r="T4" s="893">
        <f t="shared" si="3"/>
        <v>0</v>
      </c>
      <c r="U4" s="893">
        <f t="shared" si="3"/>
        <v>0</v>
      </c>
      <c r="V4" s="893">
        <f t="shared" si="3"/>
        <v>0</v>
      </c>
      <c r="W4" s="893">
        <f t="shared" si="3"/>
        <v>0</v>
      </c>
      <c r="X4" s="893">
        <f t="shared" si="3"/>
        <v>0</v>
      </c>
      <c r="Y4" s="893">
        <f t="shared" si="3"/>
        <v>0</v>
      </c>
      <c r="Z4" s="893">
        <f t="shared" si="3"/>
        <v>0</v>
      </c>
      <c r="AA4" s="893">
        <f t="shared" si="3"/>
        <v>0</v>
      </c>
      <c r="AB4" s="893">
        <f t="shared" si="3"/>
        <v>0</v>
      </c>
      <c r="AC4" s="800">
        <f t="shared" si="3"/>
        <v>0</v>
      </c>
    </row>
    <row r="5" spans="1:29" ht="12">
      <c r="A5" s="45"/>
      <c r="B5" s="1430"/>
      <c r="C5" s="571" t="str">
        <f>IF('0 Úvod'!$M$3="English",Slovnik!D210,Slovnik!C210)</f>
        <v>Hluk</v>
      </c>
      <c r="D5" s="418">
        <f t="shared" si="2"/>
        <v>0</v>
      </c>
      <c r="E5" s="894">
        <f aca="true" t="shared" si="4" ref="E5:F7">E$108*E153+E$109*E161+E$110*E169</f>
        <v>0</v>
      </c>
      <c r="F5" s="94">
        <f t="shared" si="4"/>
        <v>0</v>
      </c>
      <c r="G5" s="94">
        <f aca="true" t="shared" si="5" ref="G5:AC5">G$108*G153+G$109*G161+G$110*G169</f>
        <v>0</v>
      </c>
      <c r="H5" s="94">
        <f t="shared" si="5"/>
        <v>0</v>
      </c>
      <c r="I5" s="94">
        <f t="shared" si="5"/>
        <v>0</v>
      </c>
      <c r="J5" s="94">
        <f t="shared" si="5"/>
        <v>0</v>
      </c>
      <c r="K5" s="94">
        <f t="shared" si="5"/>
        <v>0</v>
      </c>
      <c r="L5" s="94">
        <f t="shared" si="5"/>
        <v>0</v>
      </c>
      <c r="M5" s="94">
        <f t="shared" si="5"/>
        <v>0</v>
      </c>
      <c r="N5" s="94">
        <f t="shared" si="5"/>
        <v>0</v>
      </c>
      <c r="O5" s="94">
        <f t="shared" si="5"/>
        <v>0</v>
      </c>
      <c r="P5" s="94">
        <f t="shared" si="5"/>
        <v>0</v>
      </c>
      <c r="Q5" s="94">
        <f t="shared" si="5"/>
        <v>0</v>
      </c>
      <c r="R5" s="94">
        <f t="shared" si="5"/>
        <v>0</v>
      </c>
      <c r="S5" s="94">
        <f t="shared" si="5"/>
        <v>0</v>
      </c>
      <c r="T5" s="94">
        <f t="shared" si="5"/>
        <v>0</v>
      </c>
      <c r="U5" s="94">
        <f t="shared" si="5"/>
        <v>0</v>
      </c>
      <c r="V5" s="94">
        <f t="shared" si="5"/>
        <v>0</v>
      </c>
      <c r="W5" s="94">
        <f t="shared" si="5"/>
        <v>0</v>
      </c>
      <c r="X5" s="94">
        <f t="shared" si="5"/>
        <v>0</v>
      </c>
      <c r="Y5" s="94">
        <f t="shared" si="5"/>
        <v>0</v>
      </c>
      <c r="Z5" s="94">
        <f t="shared" si="5"/>
        <v>0</v>
      </c>
      <c r="AA5" s="94">
        <f t="shared" si="5"/>
        <v>0</v>
      </c>
      <c r="AB5" s="94">
        <f t="shared" si="5"/>
        <v>0</v>
      </c>
      <c r="AC5" s="430">
        <f t="shared" si="5"/>
        <v>0</v>
      </c>
    </row>
    <row r="6" spans="1:29" ht="12">
      <c r="A6" s="45"/>
      <c r="B6" s="1430"/>
      <c r="C6" s="571" t="str">
        <f>IF('0 Úvod'!$M$3="English",Slovnik!D211,Slovnik!C211)</f>
        <v>Znečištění ovzduší</v>
      </c>
      <c r="D6" s="418">
        <f t="shared" si="2"/>
        <v>0</v>
      </c>
      <c r="E6" s="894">
        <f t="shared" si="4"/>
        <v>0</v>
      </c>
      <c r="F6" s="94">
        <f t="shared" si="4"/>
        <v>0</v>
      </c>
      <c r="G6" s="94">
        <f aca="true" t="shared" si="6" ref="G6:AC6">G$108*G154+G$109*G162+G$110*G170</f>
        <v>0</v>
      </c>
      <c r="H6" s="94">
        <f t="shared" si="6"/>
        <v>0</v>
      </c>
      <c r="I6" s="94">
        <f t="shared" si="6"/>
        <v>0</v>
      </c>
      <c r="J6" s="94">
        <f t="shared" si="6"/>
        <v>0</v>
      </c>
      <c r="K6" s="94">
        <f t="shared" si="6"/>
        <v>0</v>
      </c>
      <c r="L6" s="94">
        <f t="shared" si="6"/>
        <v>0</v>
      </c>
      <c r="M6" s="94">
        <f t="shared" si="6"/>
        <v>0</v>
      </c>
      <c r="N6" s="94">
        <f t="shared" si="6"/>
        <v>0</v>
      </c>
      <c r="O6" s="94">
        <f t="shared" si="6"/>
        <v>0</v>
      </c>
      <c r="P6" s="94">
        <f t="shared" si="6"/>
        <v>0</v>
      </c>
      <c r="Q6" s="94">
        <f t="shared" si="6"/>
        <v>0</v>
      </c>
      <c r="R6" s="94">
        <f t="shared" si="6"/>
        <v>0</v>
      </c>
      <c r="S6" s="94">
        <f t="shared" si="6"/>
        <v>0</v>
      </c>
      <c r="T6" s="94">
        <f t="shared" si="6"/>
        <v>0</v>
      </c>
      <c r="U6" s="94">
        <f t="shared" si="6"/>
        <v>0</v>
      </c>
      <c r="V6" s="94">
        <f t="shared" si="6"/>
        <v>0</v>
      </c>
      <c r="W6" s="94">
        <f t="shared" si="6"/>
        <v>0</v>
      </c>
      <c r="X6" s="94">
        <f t="shared" si="6"/>
        <v>0</v>
      </c>
      <c r="Y6" s="94">
        <f t="shared" si="6"/>
        <v>0</v>
      </c>
      <c r="Z6" s="94">
        <f t="shared" si="6"/>
        <v>0</v>
      </c>
      <c r="AA6" s="94">
        <f t="shared" si="6"/>
        <v>0</v>
      </c>
      <c r="AB6" s="94">
        <f t="shared" si="6"/>
        <v>0</v>
      </c>
      <c r="AC6" s="430">
        <f t="shared" si="6"/>
        <v>0</v>
      </c>
    </row>
    <row r="7" spans="1:29" ht="12">
      <c r="A7" s="45"/>
      <c r="B7" s="1430"/>
      <c r="C7" s="571" t="str">
        <f>IF('0 Úvod'!$M$3="English",Slovnik!D212,Slovnik!C212)</f>
        <v>Klimatické změny</v>
      </c>
      <c r="D7" s="418">
        <f t="shared" si="2"/>
        <v>0</v>
      </c>
      <c r="E7" s="894">
        <f t="shared" si="4"/>
        <v>0</v>
      </c>
      <c r="F7" s="94">
        <f t="shared" si="4"/>
        <v>0</v>
      </c>
      <c r="G7" s="94">
        <f aca="true" t="shared" si="7" ref="G7:AC7">G$108*G155+G$109*G163+G$110*G171</f>
        <v>0</v>
      </c>
      <c r="H7" s="94">
        <f t="shared" si="7"/>
        <v>0</v>
      </c>
      <c r="I7" s="94">
        <f t="shared" si="7"/>
        <v>0</v>
      </c>
      <c r="J7" s="94">
        <f t="shared" si="7"/>
        <v>0</v>
      </c>
      <c r="K7" s="94">
        <f t="shared" si="7"/>
        <v>0</v>
      </c>
      <c r="L7" s="94">
        <f t="shared" si="7"/>
        <v>0</v>
      </c>
      <c r="M7" s="94">
        <f t="shared" si="7"/>
        <v>0</v>
      </c>
      <c r="N7" s="94">
        <f t="shared" si="7"/>
        <v>0</v>
      </c>
      <c r="O7" s="94">
        <f t="shared" si="7"/>
        <v>0</v>
      </c>
      <c r="P7" s="94">
        <f t="shared" si="7"/>
        <v>0</v>
      </c>
      <c r="Q7" s="94">
        <f t="shared" si="7"/>
        <v>0</v>
      </c>
      <c r="R7" s="94">
        <f t="shared" si="7"/>
        <v>0</v>
      </c>
      <c r="S7" s="94">
        <f t="shared" si="7"/>
        <v>0</v>
      </c>
      <c r="T7" s="94">
        <f t="shared" si="7"/>
        <v>0</v>
      </c>
      <c r="U7" s="94">
        <f t="shared" si="7"/>
        <v>0</v>
      </c>
      <c r="V7" s="94">
        <f t="shared" si="7"/>
        <v>0</v>
      </c>
      <c r="W7" s="94">
        <f t="shared" si="7"/>
        <v>0</v>
      </c>
      <c r="X7" s="94">
        <f t="shared" si="7"/>
        <v>0</v>
      </c>
      <c r="Y7" s="94">
        <f t="shared" si="7"/>
        <v>0</v>
      </c>
      <c r="Z7" s="94">
        <f t="shared" si="7"/>
        <v>0</v>
      </c>
      <c r="AA7" s="94">
        <f t="shared" si="7"/>
        <v>0</v>
      </c>
      <c r="AB7" s="94">
        <f t="shared" si="7"/>
        <v>0</v>
      </c>
      <c r="AC7" s="430">
        <f t="shared" si="7"/>
        <v>0</v>
      </c>
    </row>
    <row r="8" spans="1:29" ht="12">
      <c r="A8" s="45"/>
      <c r="B8" s="1431" t="str">
        <f>IF('0 Úvod'!$M$3="English",Slovnik!D216,Slovnik!C216)</f>
        <v>Nákladní doprava</v>
      </c>
      <c r="C8" s="572" t="str">
        <f>C4</f>
        <v>Nehody</v>
      </c>
      <c r="D8" s="475">
        <f t="shared" si="2"/>
        <v>0</v>
      </c>
      <c r="E8" s="895">
        <f>+E$111*E156+E$112*E164+E$113*E172</f>
        <v>0</v>
      </c>
      <c r="F8" s="543">
        <f>+F$111*F156+F$112*F164+F$113*F172</f>
        <v>0</v>
      </c>
      <c r="G8" s="543">
        <f>+G$111*G156+G$112*G164+G$113*G172</f>
        <v>0</v>
      </c>
      <c r="H8" s="543">
        <f aca="true" t="shared" si="8" ref="H8:AC8">+H$111*H156+H$112*H164+H$113*H172</f>
        <v>0</v>
      </c>
      <c r="I8" s="543">
        <f t="shared" si="8"/>
        <v>0</v>
      </c>
      <c r="J8" s="543">
        <f t="shared" si="8"/>
        <v>0</v>
      </c>
      <c r="K8" s="543">
        <f t="shared" si="8"/>
        <v>0</v>
      </c>
      <c r="L8" s="543">
        <f t="shared" si="8"/>
        <v>0</v>
      </c>
      <c r="M8" s="543">
        <f t="shared" si="8"/>
        <v>0</v>
      </c>
      <c r="N8" s="543">
        <f t="shared" si="8"/>
        <v>0</v>
      </c>
      <c r="O8" s="543">
        <f t="shared" si="8"/>
        <v>0</v>
      </c>
      <c r="P8" s="543">
        <f t="shared" si="8"/>
        <v>0</v>
      </c>
      <c r="Q8" s="543">
        <f t="shared" si="8"/>
        <v>0</v>
      </c>
      <c r="R8" s="543">
        <f t="shared" si="8"/>
        <v>0</v>
      </c>
      <c r="S8" s="543">
        <f t="shared" si="8"/>
        <v>0</v>
      </c>
      <c r="T8" s="543">
        <f t="shared" si="8"/>
        <v>0</v>
      </c>
      <c r="U8" s="543">
        <f t="shared" si="8"/>
        <v>0</v>
      </c>
      <c r="V8" s="543">
        <f t="shared" si="8"/>
        <v>0</v>
      </c>
      <c r="W8" s="543">
        <f t="shared" si="8"/>
        <v>0</v>
      </c>
      <c r="X8" s="543">
        <f t="shared" si="8"/>
        <v>0</v>
      </c>
      <c r="Y8" s="543">
        <f t="shared" si="8"/>
        <v>0</v>
      </c>
      <c r="Z8" s="543">
        <f t="shared" si="8"/>
        <v>0</v>
      </c>
      <c r="AA8" s="543">
        <f t="shared" si="8"/>
        <v>0</v>
      </c>
      <c r="AB8" s="543">
        <f t="shared" si="8"/>
        <v>0</v>
      </c>
      <c r="AC8" s="552">
        <f t="shared" si="8"/>
        <v>0</v>
      </c>
    </row>
    <row r="9" spans="1:29" ht="12">
      <c r="A9" s="56"/>
      <c r="B9" s="1432"/>
      <c r="C9" s="571" t="str">
        <f>C5</f>
        <v>Hluk</v>
      </c>
      <c r="D9" s="418">
        <f t="shared" si="2"/>
        <v>0</v>
      </c>
      <c r="E9" s="896">
        <f aca="true" t="shared" si="9" ref="E9:F11">+E$111*E157+E$112*E165+E$113*E173</f>
        <v>0</v>
      </c>
      <c r="F9" s="60">
        <f t="shared" si="9"/>
        <v>0</v>
      </c>
      <c r="G9" s="60">
        <f aca="true" t="shared" si="10" ref="G9:AC9">+G$111*G157+G$112*G165+G$113*G173</f>
        <v>0</v>
      </c>
      <c r="H9" s="60">
        <f t="shared" si="10"/>
        <v>0</v>
      </c>
      <c r="I9" s="60">
        <f t="shared" si="10"/>
        <v>0</v>
      </c>
      <c r="J9" s="60">
        <f t="shared" si="10"/>
        <v>0</v>
      </c>
      <c r="K9" s="60">
        <f t="shared" si="10"/>
        <v>0</v>
      </c>
      <c r="L9" s="60">
        <f t="shared" si="10"/>
        <v>0</v>
      </c>
      <c r="M9" s="60">
        <f t="shared" si="10"/>
        <v>0</v>
      </c>
      <c r="N9" s="60">
        <f t="shared" si="10"/>
        <v>0</v>
      </c>
      <c r="O9" s="60">
        <f t="shared" si="10"/>
        <v>0</v>
      </c>
      <c r="P9" s="60">
        <f t="shared" si="10"/>
        <v>0</v>
      </c>
      <c r="Q9" s="60">
        <f t="shared" si="10"/>
        <v>0</v>
      </c>
      <c r="R9" s="60">
        <f t="shared" si="10"/>
        <v>0</v>
      </c>
      <c r="S9" s="60">
        <f t="shared" si="10"/>
        <v>0</v>
      </c>
      <c r="T9" s="60">
        <f t="shared" si="10"/>
        <v>0</v>
      </c>
      <c r="U9" s="60">
        <f t="shared" si="10"/>
        <v>0</v>
      </c>
      <c r="V9" s="60">
        <f t="shared" si="10"/>
        <v>0</v>
      </c>
      <c r="W9" s="60">
        <f t="shared" si="10"/>
        <v>0</v>
      </c>
      <c r="X9" s="60">
        <f t="shared" si="10"/>
        <v>0</v>
      </c>
      <c r="Y9" s="60">
        <f t="shared" si="10"/>
        <v>0</v>
      </c>
      <c r="Z9" s="60">
        <f t="shared" si="10"/>
        <v>0</v>
      </c>
      <c r="AA9" s="60">
        <f t="shared" si="10"/>
        <v>0</v>
      </c>
      <c r="AB9" s="60">
        <f t="shared" si="10"/>
        <v>0</v>
      </c>
      <c r="AC9" s="405">
        <f t="shared" si="10"/>
        <v>0</v>
      </c>
    </row>
    <row r="10" spans="1:29" ht="12">
      <c r="A10" s="56"/>
      <c r="B10" s="1432"/>
      <c r="C10" s="571" t="str">
        <f>C6</f>
        <v>Znečištění ovzduší</v>
      </c>
      <c r="D10" s="418">
        <f t="shared" si="2"/>
        <v>0</v>
      </c>
      <c r="E10" s="896">
        <f t="shared" si="9"/>
        <v>0</v>
      </c>
      <c r="F10" s="60">
        <f t="shared" si="9"/>
        <v>0</v>
      </c>
      <c r="G10" s="60">
        <f aca="true" t="shared" si="11" ref="G10:AC10">+G$111*G158+G$112*G166+G$113*G174</f>
        <v>0</v>
      </c>
      <c r="H10" s="60">
        <f t="shared" si="11"/>
        <v>0</v>
      </c>
      <c r="I10" s="60">
        <f t="shared" si="11"/>
        <v>0</v>
      </c>
      <c r="J10" s="60">
        <f t="shared" si="11"/>
        <v>0</v>
      </c>
      <c r="K10" s="60">
        <f t="shared" si="11"/>
        <v>0</v>
      </c>
      <c r="L10" s="60">
        <f t="shared" si="11"/>
        <v>0</v>
      </c>
      <c r="M10" s="60">
        <f t="shared" si="11"/>
        <v>0</v>
      </c>
      <c r="N10" s="60">
        <f t="shared" si="11"/>
        <v>0</v>
      </c>
      <c r="O10" s="60">
        <f t="shared" si="11"/>
        <v>0</v>
      </c>
      <c r="P10" s="60">
        <f t="shared" si="11"/>
        <v>0</v>
      </c>
      <c r="Q10" s="60">
        <f t="shared" si="11"/>
        <v>0</v>
      </c>
      <c r="R10" s="60">
        <f t="shared" si="11"/>
        <v>0</v>
      </c>
      <c r="S10" s="60">
        <f t="shared" si="11"/>
        <v>0</v>
      </c>
      <c r="T10" s="60">
        <f t="shared" si="11"/>
        <v>0</v>
      </c>
      <c r="U10" s="60">
        <f t="shared" si="11"/>
        <v>0</v>
      </c>
      <c r="V10" s="60">
        <f t="shared" si="11"/>
        <v>0</v>
      </c>
      <c r="W10" s="60">
        <f t="shared" si="11"/>
        <v>0</v>
      </c>
      <c r="X10" s="60">
        <f t="shared" si="11"/>
        <v>0</v>
      </c>
      <c r="Y10" s="60">
        <f t="shared" si="11"/>
        <v>0</v>
      </c>
      <c r="Z10" s="60">
        <f t="shared" si="11"/>
        <v>0</v>
      </c>
      <c r="AA10" s="60">
        <f t="shared" si="11"/>
        <v>0</v>
      </c>
      <c r="AB10" s="60">
        <f t="shared" si="11"/>
        <v>0</v>
      </c>
      <c r="AC10" s="405">
        <f t="shared" si="11"/>
        <v>0</v>
      </c>
    </row>
    <row r="11" spans="1:29" ht="12">
      <c r="A11" s="56"/>
      <c r="B11" s="1433"/>
      <c r="C11" s="573" t="str">
        <f>C7</f>
        <v>Klimatické změny</v>
      </c>
      <c r="D11" s="419">
        <f t="shared" si="2"/>
        <v>0</v>
      </c>
      <c r="E11" s="897">
        <f t="shared" si="9"/>
        <v>0</v>
      </c>
      <c r="F11" s="403">
        <f t="shared" si="9"/>
        <v>0</v>
      </c>
      <c r="G11" s="403">
        <f>+G$111*G159+G$112*G167+G$113*G175</f>
        <v>0</v>
      </c>
      <c r="H11" s="403">
        <f aca="true" t="shared" si="12" ref="H11:AC11">+H$111*H159+H$112*H167+H$113*H175</f>
        <v>0</v>
      </c>
      <c r="I11" s="403">
        <f t="shared" si="12"/>
        <v>0</v>
      </c>
      <c r="J11" s="403">
        <f t="shared" si="12"/>
        <v>0</v>
      </c>
      <c r="K11" s="403">
        <f t="shared" si="12"/>
        <v>0</v>
      </c>
      <c r="L11" s="403">
        <f t="shared" si="12"/>
        <v>0</v>
      </c>
      <c r="M11" s="403">
        <f t="shared" si="12"/>
        <v>0</v>
      </c>
      <c r="N11" s="403">
        <f t="shared" si="12"/>
        <v>0</v>
      </c>
      <c r="O11" s="403">
        <f t="shared" si="12"/>
        <v>0</v>
      </c>
      <c r="P11" s="403">
        <f t="shared" si="12"/>
        <v>0</v>
      </c>
      <c r="Q11" s="403">
        <f t="shared" si="12"/>
        <v>0</v>
      </c>
      <c r="R11" s="403">
        <f t="shared" si="12"/>
        <v>0</v>
      </c>
      <c r="S11" s="403">
        <f t="shared" si="12"/>
        <v>0</v>
      </c>
      <c r="T11" s="403">
        <f t="shared" si="12"/>
        <v>0</v>
      </c>
      <c r="U11" s="403">
        <f t="shared" si="12"/>
        <v>0</v>
      </c>
      <c r="V11" s="403">
        <f t="shared" si="12"/>
        <v>0</v>
      </c>
      <c r="W11" s="403">
        <f t="shared" si="12"/>
        <v>0</v>
      </c>
      <c r="X11" s="403">
        <f t="shared" si="12"/>
        <v>0</v>
      </c>
      <c r="Y11" s="403">
        <f t="shared" si="12"/>
        <v>0</v>
      </c>
      <c r="Z11" s="403">
        <f t="shared" si="12"/>
        <v>0</v>
      </c>
      <c r="AA11" s="403">
        <f t="shared" si="12"/>
        <v>0</v>
      </c>
      <c r="AB11" s="403">
        <f t="shared" si="12"/>
        <v>0</v>
      </c>
      <c r="AC11" s="406">
        <f t="shared" si="12"/>
        <v>0</v>
      </c>
    </row>
    <row r="12" spans="1:29" ht="12.75" thickBot="1">
      <c r="A12" s="56"/>
      <c r="B12" s="574"/>
      <c r="C12" s="575" t="str">
        <f>IF('0 Úvod'!$M$3="English",Slovnik!D213,Slovnik!C213)</f>
        <v>Celkové externí náklady</v>
      </c>
      <c r="D12" s="427">
        <f t="shared" si="2"/>
        <v>0</v>
      </c>
      <c r="E12" s="898">
        <f>SUM(E4:E11)</f>
        <v>0</v>
      </c>
      <c r="F12" s="428">
        <f>SUM(F4:F11)</f>
        <v>0</v>
      </c>
      <c r="G12" s="428">
        <f aca="true" t="shared" si="13" ref="G12:AC12">SUM(G4:G11)</f>
        <v>0</v>
      </c>
      <c r="H12" s="428">
        <f t="shared" si="13"/>
        <v>0</v>
      </c>
      <c r="I12" s="428">
        <f t="shared" si="13"/>
        <v>0</v>
      </c>
      <c r="J12" s="428">
        <f t="shared" si="13"/>
        <v>0</v>
      </c>
      <c r="K12" s="428">
        <f t="shared" si="13"/>
        <v>0</v>
      </c>
      <c r="L12" s="428">
        <f t="shared" si="13"/>
        <v>0</v>
      </c>
      <c r="M12" s="428">
        <f t="shared" si="13"/>
        <v>0</v>
      </c>
      <c r="N12" s="428">
        <f t="shared" si="13"/>
        <v>0</v>
      </c>
      <c r="O12" s="428">
        <f t="shared" si="13"/>
        <v>0</v>
      </c>
      <c r="P12" s="428">
        <f t="shared" si="13"/>
        <v>0</v>
      </c>
      <c r="Q12" s="428">
        <f t="shared" si="13"/>
        <v>0</v>
      </c>
      <c r="R12" s="428">
        <f t="shared" si="13"/>
        <v>0</v>
      </c>
      <c r="S12" s="428">
        <f t="shared" si="13"/>
        <v>0</v>
      </c>
      <c r="T12" s="428">
        <f t="shared" si="13"/>
        <v>0</v>
      </c>
      <c r="U12" s="428">
        <f t="shared" si="13"/>
        <v>0</v>
      </c>
      <c r="V12" s="428">
        <f t="shared" si="13"/>
        <v>0</v>
      </c>
      <c r="W12" s="428">
        <f t="shared" si="13"/>
        <v>0</v>
      </c>
      <c r="X12" s="428">
        <f t="shared" si="13"/>
        <v>0</v>
      </c>
      <c r="Y12" s="428">
        <f t="shared" si="13"/>
        <v>0</v>
      </c>
      <c r="Z12" s="428">
        <f t="shared" si="13"/>
        <v>0</v>
      </c>
      <c r="AA12" s="428">
        <f t="shared" si="13"/>
        <v>0</v>
      </c>
      <c r="AB12" s="428">
        <f t="shared" si="13"/>
        <v>0</v>
      </c>
      <c r="AC12" s="429">
        <f t="shared" si="13"/>
        <v>0</v>
      </c>
    </row>
    <row r="13" spans="1:29" ht="12" thickBot="1">
      <c r="A13" s="56"/>
      <c r="B13" s="61"/>
      <c r="C13" s="56"/>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row>
    <row r="14" spans="1:29" ht="12.75">
      <c r="A14" s="58"/>
      <c r="B14" s="410" t="str">
        <f>B2</f>
        <v>7.1.</v>
      </c>
      <c r="C14" s="409" t="str">
        <f>C2</f>
        <v>Externí náklady</v>
      </c>
      <c r="D14" s="824" t="str">
        <f>D2</f>
        <v>CZK</v>
      </c>
      <c r="E14" s="1392">
        <f>AC2+1</f>
        <v>2039</v>
      </c>
      <c r="F14" s="1363">
        <f aca="true" t="shared" si="14" ref="F14:S14">E14+1</f>
        <v>2040</v>
      </c>
      <c r="G14" s="1363">
        <f t="shared" si="14"/>
        <v>2041</v>
      </c>
      <c r="H14" s="1363">
        <f t="shared" si="14"/>
        <v>2042</v>
      </c>
      <c r="I14" s="1363">
        <f t="shared" si="14"/>
        <v>2043</v>
      </c>
      <c r="J14" s="1363">
        <f t="shared" si="14"/>
        <v>2044</v>
      </c>
      <c r="K14" s="1363">
        <f t="shared" si="14"/>
        <v>2045</v>
      </c>
      <c r="L14" s="1363">
        <f t="shared" si="14"/>
        <v>2046</v>
      </c>
      <c r="M14" s="1363">
        <f t="shared" si="14"/>
        <v>2047</v>
      </c>
      <c r="N14" s="1363">
        <f t="shared" si="14"/>
        <v>2048</v>
      </c>
      <c r="O14" s="1363">
        <f t="shared" si="14"/>
        <v>2049</v>
      </c>
      <c r="P14" s="1363">
        <f t="shared" si="14"/>
        <v>2050</v>
      </c>
      <c r="Q14" s="1363">
        <f t="shared" si="14"/>
        <v>2051</v>
      </c>
      <c r="R14" s="1363">
        <f t="shared" si="14"/>
        <v>2052</v>
      </c>
      <c r="S14" s="1363">
        <f t="shared" si="14"/>
        <v>2053</v>
      </c>
      <c r="T14" s="1363">
        <f aca="true" t="shared" si="15" ref="T14:AC14">S14+1</f>
        <v>2054</v>
      </c>
      <c r="U14" s="1363">
        <f t="shared" si="15"/>
        <v>2055</v>
      </c>
      <c r="V14" s="1363">
        <f t="shared" si="15"/>
        <v>2056</v>
      </c>
      <c r="W14" s="1363">
        <f t="shared" si="15"/>
        <v>2057</v>
      </c>
      <c r="X14" s="1363">
        <f t="shared" si="15"/>
        <v>2058</v>
      </c>
      <c r="Y14" s="1363">
        <f t="shared" si="15"/>
        <v>2059</v>
      </c>
      <c r="Z14" s="1363">
        <f t="shared" si="15"/>
        <v>2060</v>
      </c>
      <c r="AA14" s="1363">
        <f t="shared" si="15"/>
        <v>2061</v>
      </c>
      <c r="AB14" s="1363">
        <f t="shared" si="15"/>
        <v>2062</v>
      </c>
      <c r="AC14" s="1361">
        <f t="shared" si="15"/>
        <v>2063</v>
      </c>
    </row>
    <row r="15" spans="1:29" ht="13.5" thickBot="1">
      <c r="A15" s="56"/>
      <c r="B15" s="411" t="s">
        <v>19</v>
      </c>
      <c r="C15" s="413" t="str">
        <f aca="true" t="shared" si="16" ref="C15:C24">C3</f>
        <v>Scénář s projektem</v>
      </c>
      <c r="D15" s="424"/>
      <c r="E15" s="1393"/>
      <c r="F15" s="1364"/>
      <c r="G15" s="1364"/>
      <c r="H15" s="1364"/>
      <c r="I15" s="1364"/>
      <c r="J15" s="1364"/>
      <c r="K15" s="1364"/>
      <c r="L15" s="1364"/>
      <c r="M15" s="1364"/>
      <c r="N15" s="1364"/>
      <c r="O15" s="1364"/>
      <c r="P15" s="1364"/>
      <c r="Q15" s="1364"/>
      <c r="R15" s="1364"/>
      <c r="S15" s="1364"/>
      <c r="T15" s="1364"/>
      <c r="U15" s="1364"/>
      <c r="V15" s="1364"/>
      <c r="W15" s="1364"/>
      <c r="X15" s="1364"/>
      <c r="Y15" s="1364"/>
      <c r="Z15" s="1364"/>
      <c r="AA15" s="1364"/>
      <c r="AB15" s="1364"/>
      <c r="AC15" s="1362"/>
    </row>
    <row r="16" spans="1:29" ht="12" customHeight="1">
      <c r="A16" s="56"/>
      <c r="B16" s="1430" t="str">
        <f>B4</f>
        <v>Osobní doprava</v>
      </c>
      <c r="C16" s="576" t="str">
        <f t="shared" si="16"/>
        <v>Nehody</v>
      </c>
      <c r="D16" s="577"/>
      <c r="E16" s="892">
        <f aca="true" t="shared" si="17" ref="E16:AC16">E$117*E180+E$118*E188+E$119*E196</f>
        <v>0</v>
      </c>
      <c r="F16" s="893">
        <f t="shared" si="17"/>
        <v>0</v>
      </c>
      <c r="G16" s="893">
        <f t="shared" si="17"/>
        <v>0</v>
      </c>
      <c r="H16" s="893">
        <f t="shared" si="17"/>
        <v>0</v>
      </c>
      <c r="I16" s="893">
        <f t="shared" si="17"/>
        <v>0</v>
      </c>
      <c r="J16" s="893">
        <f t="shared" si="17"/>
        <v>0</v>
      </c>
      <c r="K16" s="893">
        <f t="shared" si="17"/>
        <v>0</v>
      </c>
      <c r="L16" s="893">
        <f t="shared" si="17"/>
        <v>0</v>
      </c>
      <c r="M16" s="893">
        <f t="shared" si="17"/>
        <v>0</v>
      </c>
      <c r="N16" s="893">
        <f t="shared" si="17"/>
        <v>0</v>
      </c>
      <c r="O16" s="893">
        <f t="shared" si="17"/>
        <v>0</v>
      </c>
      <c r="P16" s="893">
        <f t="shared" si="17"/>
        <v>0</v>
      </c>
      <c r="Q16" s="893">
        <f t="shared" si="17"/>
        <v>0</v>
      </c>
      <c r="R16" s="893">
        <f t="shared" si="17"/>
        <v>0</v>
      </c>
      <c r="S16" s="893">
        <f t="shared" si="17"/>
        <v>0</v>
      </c>
      <c r="T16" s="893">
        <f t="shared" si="17"/>
        <v>0</v>
      </c>
      <c r="U16" s="893">
        <f t="shared" si="17"/>
        <v>0</v>
      </c>
      <c r="V16" s="893">
        <f t="shared" si="17"/>
        <v>0</v>
      </c>
      <c r="W16" s="893">
        <f t="shared" si="17"/>
        <v>0</v>
      </c>
      <c r="X16" s="893">
        <f t="shared" si="17"/>
        <v>0</v>
      </c>
      <c r="Y16" s="893">
        <f t="shared" si="17"/>
        <v>0</v>
      </c>
      <c r="Z16" s="893">
        <f t="shared" si="17"/>
        <v>0</v>
      </c>
      <c r="AA16" s="893">
        <f t="shared" si="17"/>
        <v>0</v>
      </c>
      <c r="AB16" s="893">
        <f t="shared" si="17"/>
        <v>0</v>
      </c>
      <c r="AC16" s="800">
        <f t="shared" si="17"/>
        <v>0</v>
      </c>
    </row>
    <row r="17" spans="1:29" ht="12">
      <c r="A17" s="56"/>
      <c r="B17" s="1430"/>
      <c r="C17" s="576" t="str">
        <f t="shared" si="16"/>
        <v>Hluk</v>
      </c>
      <c r="D17" s="577"/>
      <c r="E17" s="894">
        <f aca="true" t="shared" si="18" ref="E17:AC17">E$117*E181+E$118*E189+E$119*E197</f>
        <v>0</v>
      </c>
      <c r="F17" s="94">
        <f t="shared" si="18"/>
        <v>0</v>
      </c>
      <c r="G17" s="94">
        <f t="shared" si="18"/>
        <v>0</v>
      </c>
      <c r="H17" s="94">
        <f t="shared" si="18"/>
        <v>0</v>
      </c>
      <c r="I17" s="94">
        <f t="shared" si="18"/>
        <v>0</v>
      </c>
      <c r="J17" s="94">
        <f t="shared" si="18"/>
        <v>0</v>
      </c>
      <c r="K17" s="94">
        <f t="shared" si="18"/>
        <v>0</v>
      </c>
      <c r="L17" s="94">
        <f t="shared" si="18"/>
        <v>0</v>
      </c>
      <c r="M17" s="94">
        <f t="shared" si="18"/>
        <v>0</v>
      </c>
      <c r="N17" s="94">
        <f t="shared" si="18"/>
        <v>0</v>
      </c>
      <c r="O17" s="94">
        <f t="shared" si="18"/>
        <v>0</v>
      </c>
      <c r="P17" s="94">
        <f t="shared" si="18"/>
        <v>0</v>
      </c>
      <c r="Q17" s="94">
        <f t="shared" si="18"/>
        <v>0</v>
      </c>
      <c r="R17" s="94">
        <f t="shared" si="18"/>
        <v>0</v>
      </c>
      <c r="S17" s="94">
        <f t="shared" si="18"/>
        <v>0</v>
      </c>
      <c r="T17" s="94">
        <f t="shared" si="18"/>
        <v>0</v>
      </c>
      <c r="U17" s="94">
        <f t="shared" si="18"/>
        <v>0</v>
      </c>
      <c r="V17" s="94">
        <f t="shared" si="18"/>
        <v>0</v>
      </c>
      <c r="W17" s="94">
        <f t="shared" si="18"/>
        <v>0</v>
      </c>
      <c r="X17" s="94">
        <f t="shared" si="18"/>
        <v>0</v>
      </c>
      <c r="Y17" s="94">
        <f t="shared" si="18"/>
        <v>0</v>
      </c>
      <c r="Z17" s="94">
        <f t="shared" si="18"/>
        <v>0</v>
      </c>
      <c r="AA17" s="94">
        <f t="shared" si="18"/>
        <v>0</v>
      </c>
      <c r="AB17" s="94">
        <f t="shared" si="18"/>
        <v>0</v>
      </c>
      <c r="AC17" s="430">
        <f t="shared" si="18"/>
        <v>0</v>
      </c>
    </row>
    <row r="18" spans="1:29" ht="12">
      <c r="A18" s="56"/>
      <c r="B18" s="1430"/>
      <c r="C18" s="576" t="str">
        <f t="shared" si="16"/>
        <v>Znečištění ovzduší</v>
      </c>
      <c r="D18" s="577"/>
      <c r="E18" s="894">
        <f aca="true" t="shared" si="19" ref="E18:AC18">E$117*E182+E$118*E190+E$119*E198</f>
        <v>0</v>
      </c>
      <c r="F18" s="94">
        <f t="shared" si="19"/>
        <v>0</v>
      </c>
      <c r="G18" s="94">
        <f t="shared" si="19"/>
        <v>0</v>
      </c>
      <c r="H18" s="94">
        <f t="shared" si="19"/>
        <v>0</v>
      </c>
      <c r="I18" s="94">
        <f t="shared" si="19"/>
        <v>0</v>
      </c>
      <c r="J18" s="94">
        <f t="shared" si="19"/>
        <v>0</v>
      </c>
      <c r="K18" s="94">
        <f t="shared" si="19"/>
        <v>0</v>
      </c>
      <c r="L18" s="94">
        <f t="shared" si="19"/>
        <v>0</v>
      </c>
      <c r="M18" s="94">
        <f t="shared" si="19"/>
        <v>0</v>
      </c>
      <c r="N18" s="94">
        <f t="shared" si="19"/>
        <v>0</v>
      </c>
      <c r="O18" s="94">
        <f t="shared" si="19"/>
        <v>0</v>
      </c>
      <c r="P18" s="94">
        <f t="shared" si="19"/>
        <v>0</v>
      </c>
      <c r="Q18" s="94">
        <f t="shared" si="19"/>
        <v>0</v>
      </c>
      <c r="R18" s="94">
        <f t="shared" si="19"/>
        <v>0</v>
      </c>
      <c r="S18" s="94">
        <f t="shared" si="19"/>
        <v>0</v>
      </c>
      <c r="T18" s="94">
        <f t="shared" si="19"/>
        <v>0</v>
      </c>
      <c r="U18" s="94">
        <f t="shared" si="19"/>
        <v>0</v>
      </c>
      <c r="V18" s="94">
        <f t="shared" si="19"/>
        <v>0</v>
      </c>
      <c r="W18" s="94">
        <f t="shared" si="19"/>
        <v>0</v>
      </c>
      <c r="X18" s="94">
        <f t="shared" si="19"/>
        <v>0</v>
      </c>
      <c r="Y18" s="94">
        <f t="shared" si="19"/>
        <v>0</v>
      </c>
      <c r="Z18" s="94">
        <f t="shared" si="19"/>
        <v>0</v>
      </c>
      <c r="AA18" s="94">
        <f t="shared" si="19"/>
        <v>0</v>
      </c>
      <c r="AB18" s="94">
        <f t="shared" si="19"/>
        <v>0</v>
      </c>
      <c r="AC18" s="430">
        <f t="shared" si="19"/>
        <v>0</v>
      </c>
    </row>
    <row r="19" spans="1:29" ht="12">
      <c r="A19" s="56"/>
      <c r="B19" s="1430"/>
      <c r="C19" s="576" t="str">
        <f t="shared" si="16"/>
        <v>Klimatické změny</v>
      </c>
      <c r="D19" s="577"/>
      <c r="E19" s="894">
        <f aca="true" t="shared" si="20" ref="E19:AC19">E$117*E183+E$118*E191+E$119*E199</f>
        <v>0</v>
      </c>
      <c r="F19" s="94">
        <f t="shared" si="20"/>
        <v>0</v>
      </c>
      <c r="G19" s="94">
        <f t="shared" si="20"/>
        <v>0</v>
      </c>
      <c r="H19" s="94">
        <f t="shared" si="20"/>
        <v>0</v>
      </c>
      <c r="I19" s="94">
        <f t="shared" si="20"/>
        <v>0</v>
      </c>
      <c r="J19" s="94">
        <f t="shared" si="20"/>
        <v>0</v>
      </c>
      <c r="K19" s="94">
        <f t="shared" si="20"/>
        <v>0</v>
      </c>
      <c r="L19" s="94">
        <f t="shared" si="20"/>
        <v>0</v>
      </c>
      <c r="M19" s="94">
        <f t="shared" si="20"/>
        <v>0</v>
      </c>
      <c r="N19" s="94">
        <f t="shared" si="20"/>
        <v>0</v>
      </c>
      <c r="O19" s="94">
        <f t="shared" si="20"/>
        <v>0</v>
      </c>
      <c r="P19" s="94">
        <f t="shared" si="20"/>
        <v>0</v>
      </c>
      <c r="Q19" s="94">
        <f t="shared" si="20"/>
        <v>0</v>
      </c>
      <c r="R19" s="94">
        <f t="shared" si="20"/>
        <v>0</v>
      </c>
      <c r="S19" s="94">
        <f t="shared" si="20"/>
        <v>0</v>
      </c>
      <c r="T19" s="94">
        <f t="shared" si="20"/>
        <v>0</v>
      </c>
      <c r="U19" s="94">
        <f t="shared" si="20"/>
        <v>0</v>
      </c>
      <c r="V19" s="94">
        <f t="shared" si="20"/>
        <v>0</v>
      </c>
      <c r="W19" s="94">
        <f t="shared" si="20"/>
        <v>0</v>
      </c>
      <c r="X19" s="94">
        <f t="shared" si="20"/>
        <v>0</v>
      </c>
      <c r="Y19" s="94">
        <f t="shared" si="20"/>
        <v>0</v>
      </c>
      <c r="Z19" s="94">
        <f t="shared" si="20"/>
        <v>0</v>
      </c>
      <c r="AA19" s="94">
        <f t="shared" si="20"/>
        <v>0</v>
      </c>
      <c r="AB19" s="94">
        <f t="shared" si="20"/>
        <v>0</v>
      </c>
      <c r="AC19" s="430">
        <f t="shared" si="20"/>
        <v>0</v>
      </c>
    </row>
    <row r="20" spans="1:29" ht="12" customHeight="1">
      <c r="A20" s="56"/>
      <c r="B20" s="1431" t="str">
        <f>B8</f>
        <v>Nákladní doprava</v>
      </c>
      <c r="C20" s="578" t="str">
        <f t="shared" si="16"/>
        <v>Nehody</v>
      </c>
      <c r="D20" s="579"/>
      <c r="E20" s="895">
        <f aca="true" t="shared" si="21" ref="E20:AC20">+E$120*E184+E$121*E192+E$122*E200</f>
        <v>0</v>
      </c>
      <c r="F20" s="543">
        <f t="shared" si="21"/>
        <v>0</v>
      </c>
      <c r="G20" s="543">
        <f t="shared" si="21"/>
        <v>0</v>
      </c>
      <c r="H20" s="543">
        <f t="shared" si="21"/>
        <v>0</v>
      </c>
      <c r="I20" s="543">
        <f t="shared" si="21"/>
        <v>0</v>
      </c>
      <c r="J20" s="543">
        <f t="shared" si="21"/>
        <v>0</v>
      </c>
      <c r="K20" s="543">
        <f t="shared" si="21"/>
        <v>0</v>
      </c>
      <c r="L20" s="543">
        <f t="shared" si="21"/>
        <v>0</v>
      </c>
      <c r="M20" s="543">
        <f t="shared" si="21"/>
        <v>0</v>
      </c>
      <c r="N20" s="543">
        <f t="shared" si="21"/>
        <v>0</v>
      </c>
      <c r="O20" s="543">
        <f t="shared" si="21"/>
        <v>0</v>
      </c>
      <c r="P20" s="543">
        <f t="shared" si="21"/>
        <v>0</v>
      </c>
      <c r="Q20" s="543">
        <f t="shared" si="21"/>
        <v>0</v>
      </c>
      <c r="R20" s="543">
        <f t="shared" si="21"/>
        <v>0</v>
      </c>
      <c r="S20" s="543">
        <f t="shared" si="21"/>
        <v>0</v>
      </c>
      <c r="T20" s="543">
        <f t="shared" si="21"/>
        <v>0</v>
      </c>
      <c r="U20" s="543">
        <f t="shared" si="21"/>
        <v>0</v>
      </c>
      <c r="V20" s="543">
        <f t="shared" si="21"/>
        <v>0</v>
      </c>
      <c r="W20" s="543">
        <f t="shared" si="21"/>
        <v>0</v>
      </c>
      <c r="X20" s="543">
        <f t="shared" si="21"/>
        <v>0</v>
      </c>
      <c r="Y20" s="543">
        <f t="shared" si="21"/>
        <v>0</v>
      </c>
      <c r="Z20" s="543">
        <f t="shared" si="21"/>
        <v>0</v>
      </c>
      <c r="AA20" s="543">
        <f t="shared" si="21"/>
        <v>0</v>
      </c>
      <c r="AB20" s="543">
        <f t="shared" si="21"/>
        <v>0</v>
      </c>
      <c r="AC20" s="552">
        <f t="shared" si="21"/>
        <v>0</v>
      </c>
    </row>
    <row r="21" spans="1:29" ht="12">
      <c r="A21" s="56"/>
      <c r="B21" s="1432"/>
      <c r="C21" s="576" t="str">
        <f t="shared" si="16"/>
        <v>Hluk</v>
      </c>
      <c r="D21" s="580"/>
      <c r="E21" s="896">
        <f aca="true" t="shared" si="22" ref="E21:AC21">+E$120*E185+E$121*E193+E$122*E201</f>
        <v>0</v>
      </c>
      <c r="F21" s="60">
        <f t="shared" si="22"/>
        <v>0</v>
      </c>
      <c r="G21" s="60">
        <f t="shared" si="22"/>
        <v>0</v>
      </c>
      <c r="H21" s="60">
        <f t="shared" si="22"/>
        <v>0</v>
      </c>
      <c r="I21" s="60">
        <f t="shared" si="22"/>
        <v>0</v>
      </c>
      <c r="J21" s="60">
        <f t="shared" si="22"/>
        <v>0</v>
      </c>
      <c r="K21" s="60">
        <f t="shared" si="22"/>
        <v>0</v>
      </c>
      <c r="L21" s="60">
        <f t="shared" si="22"/>
        <v>0</v>
      </c>
      <c r="M21" s="60">
        <f t="shared" si="22"/>
        <v>0</v>
      </c>
      <c r="N21" s="60">
        <f t="shared" si="22"/>
        <v>0</v>
      </c>
      <c r="O21" s="60">
        <f t="shared" si="22"/>
        <v>0</v>
      </c>
      <c r="P21" s="60">
        <f t="shared" si="22"/>
        <v>0</v>
      </c>
      <c r="Q21" s="60">
        <f t="shared" si="22"/>
        <v>0</v>
      </c>
      <c r="R21" s="60">
        <f t="shared" si="22"/>
        <v>0</v>
      </c>
      <c r="S21" s="60">
        <f t="shared" si="22"/>
        <v>0</v>
      </c>
      <c r="T21" s="60">
        <f t="shared" si="22"/>
        <v>0</v>
      </c>
      <c r="U21" s="60">
        <f t="shared" si="22"/>
        <v>0</v>
      </c>
      <c r="V21" s="60">
        <f t="shared" si="22"/>
        <v>0</v>
      </c>
      <c r="W21" s="60">
        <f t="shared" si="22"/>
        <v>0</v>
      </c>
      <c r="X21" s="60">
        <f t="shared" si="22"/>
        <v>0</v>
      </c>
      <c r="Y21" s="60">
        <f t="shared" si="22"/>
        <v>0</v>
      </c>
      <c r="Z21" s="60">
        <f t="shared" si="22"/>
        <v>0</v>
      </c>
      <c r="AA21" s="60">
        <f t="shared" si="22"/>
        <v>0</v>
      </c>
      <c r="AB21" s="60">
        <f t="shared" si="22"/>
        <v>0</v>
      </c>
      <c r="AC21" s="405">
        <f t="shared" si="22"/>
        <v>0</v>
      </c>
    </row>
    <row r="22" spans="1:29" ht="12">
      <c r="A22" s="56"/>
      <c r="B22" s="1432"/>
      <c r="C22" s="576" t="str">
        <f t="shared" si="16"/>
        <v>Znečištění ovzduší</v>
      </c>
      <c r="D22" s="580"/>
      <c r="E22" s="896">
        <f aca="true" t="shared" si="23" ref="E22:AC22">+E$120*E186+E$121*E194+E$122*E202</f>
        <v>0</v>
      </c>
      <c r="F22" s="60">
        <f t="shared" si="23"/>
        <v>0</v>
      </c>
      <c r="G22" s="60">
        <f t="shared" si="23"/>
        <v>0</v>
      </c>
      <c r="H22" s="60">
        <f t="shared" si="23"/>
        <v>0</v>
      </c>
      <c r="I22" s="60">
        <f t="shared" si="23"/>
        <v>0</v>
      </c>
      <c r="J22" s="60">
        <f t="shared" si="23"/>
        <v>0</v>
      </c>
      <c r="K22" s="60">
        <f t="shared" si="23"/>
        <v>0</v>
      </c>
      <c r="L22" s="60">
        <f t="shared" si="23"/>
        <v>0</v>
      </c>
      <c r="M22" s="60">
        <f t="shared" si="23"/>
        <v>0</v>
      </c>
      <c r="N22" s="60">
        <f t="shared" si="23"/>
        <v>0</v>
      </c>
      <c r="O22" s="60">
        <f t="shared" si="23"/>
        <v>0</v>
      </c>
      <c r="P22" s="60">
        <f t="shared" si="23"/>
        <v>0</v>
      </c>
      <c r="Q22" s="60">
        <f t="shared" si="23"/>
        <v>0</v>
      </c>
      <c r="R22" s="60">
        <f t="shared" si="23"/>
        <v>0</v>
      </c>
      <c r="S22" s="60">
        <f t="shared" si="23"/>
        <v>0</v>
      </c>
      <c r="T22" s="60">
        <f t="shared" si="23"/>
        <v>0</v>
      </c>
      <c r="U22" s="60">
        <f t="shared" si="23"/>
        <v>0</v>
      </c>
      <c r="V22" s="60">
        <f t="shared" si="23"/>
        <v>0</v>
      </c>
      <c r="W22" s="60">
        <f t="shared" si="23"/>
        <v>0</v>
      </c>
      <c r="X22" s="60">
        <f t="shared" si="23"/>
        <v>0</v>
      </c>
      <c r="Y22" s="60">
        <f t="shared" si="23"/>
        <v>0</v>
      </c>
      <c r="Z22" s="60">
        <f t="shared" si="23"/>
        <v>0</v>
      </c>
      <c r="AA22" s="60">
        <f t="shared" si="23"/>
        <v>0</v>
      </c>
      <c r="AB22" s="60">
        <f t="shared" si="23"/>
        <v>0</v>
      </c>
      <c r="AC22" s="405">
        <f t="shared" si="23"/>
        <v>0</v>
      </c>
    </row>
    <row r="23" spans="1:29" ht="12">
      <c r="A23" s="56"/>
      <c r="B23" s="1433"/>
      <c r="C23" s="581" t="str">
        <f t="shared" si="16"/>
        <v>Klimatické změny</v>
      </c>
      <c r="D23" s="582"/>
      <c r="E23" s="897">
        <f aca="true" t="shared" si="24" ref="E23:AC23">+E$120*E187+E$121*E195+E$122*E203</f>
        <v>0</v>
      </c>
      <c r="F23" s="403">
        <f t="shared" si="24"/>
        <v>0</v>
      </c>
      <c r="G23" s="403">
        <f t="shared" si="24"/>
        <v>0</v>
      </c>
      <c r="H23" s="403">
        <f t="shared" si="24"/>
        <v>0</v>
      </c>
      <c r="I23" s="403">
        <f t="shared" si="24"/>
        <v>0</v>
      </c>
      <c r="J23" s="403">
        <f t="shared" si="24"/>
        <v>0</v>
      </c>
      <c r="K23" s="403">
        <f t="shared" si="24"/>
        <v>0</v>
      </c>
      <c r="L23" s="403">
        <f t="shared" si="24"/>
        <v>0</v>
      </c>
      <c r="M23" s="403">
        <f t="shared" si="24"/>
        <v>0</v>
      </c>
      <c r="N23" s="403">
        <f t="shared" si="24"/>
        <v>0</v>
      </c>
      <c r="O23" s="403">
        <f t="shared" si="24"/>
        <v>0</v>
      </c>
      <c r="P23" s="403">
        <f t="shared" si="24"/>
        <v>0</v>
      </c>
      <c r="Q23" s="403">
        <f t="shared" si="24"/>
        <v>0</v>
      </c>
      <c r="R23" s="403">
        <f t="shared" si="24"/>
        <v>0</v>
      </c>
      <c r="S23" s="403">
        <f t="shared" si="24"/>
        <v>0</v>
      </c>
      <c r="T23" s="403">
        <f t="shared" si="24"/>
        <v>0</v>
      </c>
      <c r="U23" s="403">
        <f t="shared" si="24"/>
        <v>0</v>
      </c>
      <c r="V23" s="403">
        <f t="shared" si="24"/>
        <v>0</v>
      </c>
      <c r="W23" s="403">
        <f t="shared" si="24"/>
        <v>0</v>
      </c>
      <c r="X23" s="403">
        <f t="shared" si="24"/>
        <v>0</v>
      </c>
      <c r="Y23" s="403">
        <f t="shared" si="24"/>
        <v>0</v>
      </c>
      <c r="Z23" s="403">
        <f t="shared" si="24"/>
        <v>0</v>
      </c>
      <c r="AA23" s="403">
        <f t="shared" si="24"/>
        <v>0</v>
      </c>
      <c r="AB23" s="403">
        <f t="shared" si="24"/>
        <v>0</v>
      </c>
      <c r="AC23" s="406">
        <f t="shared" si="24"/>
        <v>0</v>
      </c>
    </row>
    <row r="24" spans="1:29" ht="12.75" thickBot="1">
      <c r="A24" s="48"/>
      <c r="B24" s="574"/>
      <c r="C24" s="583" t="str">
        <f t="shared" si="16"/>
        <v>Celkové externí náklady</v>
      </c>
      <c r="D24" s="584"/>
      <c r="E24" s="898">
        <f>SUM(E16:E23)</f>
        <v>0</v>
      </c>
      <c r="F24" s="428">
        <f>SUM(F16:F23)</f>
        <v>0</v>
      </c>
      <c r="G24" s="428">
        <f aca="true" t="shared" si="25" ref="G24:AC24">SUM(G16:G23)</f>
        <v>0</v>
      </c>
      <c r="H24" s="428">
        <f t="shared" si="25"/>
        <v>0</v>
      </c>
      <c r="I24" s="428">
        <f t="shared" si="25"/>
        <v>0</v>
      </c>
      <c r="J24" s="428">
        <f t="shared" si="25"/>
        <v>0</v>
      </c>
      <c r="K24" s="428">
        <f t="shared" si="25"/>
        <v>0</v>
      </c>
      <c r="L24" s="428">
        <f t="shared" si="25"/>
        <v>0</v>
      </c>
      <c r="M24" s="428">
        <f t="shared" si="25"/>
        <v>0</v>
      </c>
      <c r="N24" s="428">
        <f t="shared" si="25"/>
        <v>0</v>
      </c>
      <c r="O24" s="428">
        <f t="shared" si="25"/>
        <v>0</v>
      </c>
      <c r="P24" s="428">
        <f t="shared" si="25"/>
        <v>0</v>
      </c>
      <c r="Q24" s="428">
        <f t="shared" si="25"/>
        <v>0</v>
      </c>
      <c r="R24" s="428">
        <f t="shared" si="25"/>
        <v>0</v>
      </c>
      <c r="S24" s="428">
        <f t="shared" si="25"/>
        <v>0</v>
      </c>
      <c r="T24" s="428">
        <f t="shared" si="25"/>
        <v>0</v>
      </c>
      <c r="U24" s="428">
        <f t="shared" si="25"/>
        <v>0</v>
      </c>
      <c r="V24" s="428">
        <f t="shared" si="25"/>
        <v>0</v>
      </c>
      <c r="W24" s="428">
        <f t="shared" si="25"/>
        <v>0</v>
      </c>
      <c r="X24" s="428">
        <f t="shared" si="25"/>
        <v>0</v>
      </c>
      <c r="Y24" s="428">
        <f t="shared" si="25"/>
        <v>0</v>
      </c>
      <c r="Z24" s="428">
        <f t="shared" si="25"/>
        <v>0</v>
      </c>
      <c r="AA24" s="428">
        <f t="shared" si="25"/>
        <v>0</v>
      </c>
      <c r="AB24" s="428">
        <f t="shared" si="25"/>
        <v>0</v>
      </c>
      <c r="AC24" s="429">
        <f t="shared" si="25"/>
        <v>0</v>
      </c>
    </row>
    <row r="25" spans="1:29" ht="11.25">
      <c r="A25" s="48"/>
      <c r="B25" s="63"/>
      <c r="C25" s="48"/>
      <c r="D25" s="57"/>
      <c r="E25" s="64"/>
      <c r="F25" s="64"/>
      <c r="G25" s="64"/>
      <c r="H25" s="64"/>
      <c r="I25" s="64"/>
      <c r="J25" s="64"/>
      <c r="K25" s="64"/>
      <c r="L25" s="64"/>
      <c r="M25" s="64"/>
      <c r="N25" s="64"/>
      <c r="O25" s="64"/>
      <c r="P25" s="64"/>
      <c r="Q25" s="64"/>
      <c r="R25" s="64"/>
      <c r="S25" s="64"/>
      <c r="T25" s="64"/>
      <c r="U25" s="64"/>
      <c r="V25" s="64"/>
      <c r="W25" s="64"/>
      <c r="X25" s="64"/>
      <c r="Y25" s="64"/>
      <c r="Z25" s="64"/>
      <c r="AA25" s="64"/>
      <c r="AB25" s="64"/>
      <c r="AC25" s="64"/>
    </row>
    <row r="26" spans="1:29" ht="12" thickBo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row>
    <row r="27" spans="1:29" ht="12.75">
      <c r="A27" s="58"/>
      <c r="B27" s="410" t="s">
        <v>36</v>
      </c>
      <c r="C27" s="409" t="str">
        <f>C2</f>
        <v>Externí náklady</v>
      </c>
      <c r="D27" s="1011" t="str">
        <f>D2</f>
        <v>CZK</v>
      </c>
      <c r="E27" s="1363">
        <f>E2</f>
        <v>2014</v>
      </c>
      <c r="F27" s="1363">
        <f aca="true" t="shared" si="26" ref="F27:S27">E27+1</f>
        <v>2015</v>
      </c>
      <c r="G27" s="1363">
        <f t="shared" si="26"/>
        <v>2016</v>
      </c>
      <c r="H27" s="1363">
        <f t="shared" si="26"/>
        <v>2017</v>
      </c>
      <c r="I27" s="1363">
        <f t="shared" si="26"/>
        <v>2018</v>
      </c>
      <c r="J27" s="1363">
        <f t="shared" si="26"/>
        <v>2019</v>
      </c>
      <c r="K27" s="1363">
        <f t="shared" si="26"/>
        <v>2020</v>
      </c>
      <c r="L27" s="1363">
        <f t="shared" si="26"/>
        <v>2021</v>
      </c>
      <c r="M27" s="1363">
        <f t="shared" si="26"/>
        <v>2022</v>
      </c>
      <c r="N27" s="1363">
        <f t="shared" si="26"/>
        <v>2023</v>
      </c>
      <c r="O27" s="1363">
        <f t="shared" si="26"/>
        <v>2024</v>
      </c>
      <c r="P27" s="1363">
        <f t="shared" si="26"/>
        <v>2025</v>
      </c>
      <c r="Q27" s="1363">
        <f t="shared" si="26"/>
        <v>2026</v>
      </c>
      <c r="R27" s="1363">
        <f t="shared" si="26"/>
        <v>2027</v>
      </c>
      <c r="S27" s="1363">
        <f t="shared" si="26"/>
        <v>2028</v>
      </c>
      <c r="T27" s="1363">
        <f aca="true" t="shared" si="27" ref="T27:AC27">S27+1</f>
        <v>2029</v>
      </c>
      <c r="U27" s="1363">
        <f t="shared" si="27"/>
        <v>2030</v>
      </c>
      <c r="V27" s="1363">
        <f t="shared" si="27"/>
        <v>2031</v>
      </c>
      <c r="W27" s="1363">
        <f t="shared" si="27"/>
        <v>2032</v>
      </c>
      <c r="X27" s="1363">
        <f t="shared" si="27"/>
        <v>2033</v>
      </c>
      <c r="Y27" s="1363">
        <f t="shared" si="27"/>
        <v>2034</v>
      </c>
      <c r="Z27" s="1363">
        <f t="shared" si="27"/>
        <v>2035</v>
      </c>
      <c r="AA27" s="1363">
        <f t="shared" si="27"/>
        <v>2036</v>
      </c>
      <c r="AB27" s="1363">
        <f t="shared" si="27"/>
        <v>2037</v>
      </c>
      <c r="AC27" s="1361">
        <f t="shared" si="27"/>
        <v>2038</v>
      </c>
    </row>
    <row r="28" spans="1:29" ht="13.5" thickBot="1">
      <c r="A28" s="56"/>
      <c r="B28" s="411" t="s">
        <v>17</v>
      </c>
      <c r="C28" s="412" t="str">
        <f>IF('0 Úvod'!$M$3="English",Slovnik!D214,Slovnik!C214)</f>
        <v>Scénář bez projektu</v>
      </c>
      <c r="D28" s="417" t="str">
        <f>D3</f>
        <v>Celkem</v>
      </c>
      <c r="E28" s="1364"/>
      <c r="F28" s="1364"/>
      <c r="G28" s="1364"/>
      <c r="H28" s="1364"/>
      <c r="I28" s="1364"/>
      <c r="J28" s="1364"/>
      <c r="K28" s="1364"/>
      <c r="L28" s="1364"/>
      <c r="M28" s="1364"/>
      <c r="N28" s="1364"/>
      <c r="O28" s="1364"/>
      <c r="P28" s="1364"/>
      <c r="Q28" s="1364"/>
      <c r="R28" s="1364"/>
      <c r="S28" s="1364"/>
      <c r="T28" s="1364"/>
      <c r="U28" s="1364"/>
      <c r="V28" s="1364"/>
      <c r="W28" s="1364"/>
      <c r="X28" s="1364"/>
      <c r="Y28" s="1364"/>
      <c r="Z28" s="1364"/>
      <c r="AA28" s="1364"/>
      <c r="AB28" s="1364"/>
      <c r="AC28" s="1362"/>
    </row>
    <row r="29" spans="1:29" ht="12" customHeight="1">
      <c r="A29" s="45"/>
      <c r="B29" s="1430" t="str">
        <f>B4</f>
        <v>Osobní doprava</v>
      </c>
      <c r="C29" s="571" t="str">
        <f>C4</f>
        <v>Nehody</v>
      </c>
      <c r="D29" s="418">
        <f aca="true" t="shared" si="28" ref="D29:D37">SUM(E29:AC29,E41:AC41)</f>
        <v>0</v>
      </c>
      <c r="E29" s="892">
        <f aca="true" t="shared" si="29" ref="E29:F32">E$127*E152+E$128*E160+E$129*E168</f>
        <v>0</v>
      </c>
      <c r="F29" s="94">
        <f t="shared" si="29"/>
        <v>0</v>
      </c>
      <c r="G29" s="94">
        <f aca="true" t="shared" si="30" ref="G29:AC29">G$127*G152+G$128*G160+G$129*G168</f>
        <v>0</v>
      </c>
      <c r="H29" s="94">
        <f t="shared" si="30"/>
        <v>0</v>
      </c>
      <c r="I29" s="94">
        <f t="shared" si="30"/>
        <v>0</v>
      </c>
      <c r="J29" s="94">
        <f t="shared" si="30"/>
        <v>0</v>
      </c>
      <c r="K29" s="94">
        <f t="shared" si="30"/>
        <v>0</v>
      </c>
      <c r="L29" s="94">
        <f t="shared" si="30"/>
        <v>0</v>
      </c>
      <c r="M29" s="94">
        <f t="shared" si="30"/>
        <v>0</v>
      </c>
      <c r="N29" s="94">
        <f t="shared" si="30"/>
        <v>0</v>
      </c>
      <c r="O29" s="94">
        <f t="shared" si="30"/>
        <v>0</v>
      </c>
      <c r="P29" s="94">
        <f t="shared" si="30"/>
        <v>0</v>
      </c>
      <c r="Q29" s="94">
        <f t="shared" si="30"/>
        <v>0</v>
      </c>
      <c r="R29" s="94">
        <f t="shared" si="30"/>
        <v>0</v>
      </c>
      <c r="S29" s="94">
        <f t="shared" si="30"/>
        <v>0</v>
      </c>
      <c r="T29" s="94">
        <f t="shared" si="30"/>
        <v>0</v>
      </c>
      <c r="U29" s="94">
        <f t="shared" si="30"/>
        <v>0</v>
      </c>
      <c r="V29" s="94">
        <f t="shared" si="30"/>
        <v>0</v>
      </c>
      <c r="W29" s="94">
        <f t="shared" si="30"/>
        <v>0</v>
      </c>
      <c r="X29" s="94">
        <f t="shared" si="30"/>
        <v>0</v>
      </c>
      <c r="Y29" s="94">
        <f t="shared" si="30"/>
        <v>0</v>
      </c>
      <c r="Z29" s="94">
        <f t="shared" si="30"/>
        <v>0</v>
      </c>
      <c r="AA29" s="94">
        <f t="shared" si="30"/>
        <v>0</v>
      </c>
      <c r="AB29" s="94">
        <f t="shared" si="30"/>
        <v>0</v>
      </c>
      <c r="AC29" s="407">
        <f t="shared" si="30"/>
        <v>0</v>
      </c>
    </row>
    <row r="30" spans="1:29" ht="12">
      <c r="A30" s="45"/>
      <c r="B30" s="1430"/>
      <c r="C30" s="571" t="str">
        <f aca="true" t="shared" si="31" ref="C30:C37">C5</f>
        <v>Hluk</v>
      </c>
      <c r="D30" s="418">
        <f t="shared" si="28"/>
        <v>0</v>
      </c>
      <c r="E30" s="894">
        <f t="shared" si="29"/>
        <v>0</v>
      </c>
      <c r="F30" s="94">
        <f t="shared" si="29"/>
        <v>0</v>
      </c>
      <c r="G30" s="94">
        <f aca="true" t="shared" si="32" ref="G30:AC30">G$127*G153+G$128*G161+G$129*G169</f>
        <v>0</v>
      </c>
      <c r="H30" s="94">
        <f t="shared" si="32"/>
        <v>0</v>
      </c>
      <c r="I30" s="94">
        <f t="shared" si="32"/>
        <v>0</v>
      </c>
      <c r="J30" s="94">
        <f t="shared" si="32"/>
        <v>0</v>
      </c>
      <c r="K30" s="94">
        <f t="shared" si="32"/>
        <v>0</v>
      </c>
      <c r="L30" s="94">
        <f t="shared" si="32"/>
        <v>0</v>
      </c>
      <c r="M30" s="94">
        <f t="shared" si="32"/>
        <v>0</v>
      </c>
      <c r="N30" s="94">
        <f t="shared" si="32"/>
        <v>0</v>
      </c>
      <c r="O30" s="94">
        <f t="shared" si="32"/>
        <v>0</v>
      </c>
      <c r="P30" s="94">
        <f t="shared" si="32"/>
        <v>0</v>
      </c>
      <c r="Q30" s="94">
        <f t="shared" si="32"/>
        <v>0</v>
      </c>
      <c r="R30" s="94">
        <f t="shared" si="32"/>
        <v>0</v>
      </c>
      <c r="S30" s="94">
        <f t="shared" si="32"/>
        <v>0</v>
      </c>
      <c r="T30" s="94">
        <f t="shared" si="32"/>
        <v>0</v>
      </c>
      <c r="U30" s="94">
        <f t="shared" si="32"/>
        <v>0</v>
      </c>
      <c r="V30" s="94">
        <f t="shared" si="32"/>
        <v>0</v>
      </c>
      <c r="W30" s="94">
        <f t="shared" si="32"/>
        <v>0</v>
      </c>
      <c r="X30" s="94">
        <f t="shared" si="32"/>
        <v>0</v>
      </c>
      <c r="Y30" s="94">
        <f t="shared" si="32"/>
        <v>0</v>
      </c>
      <c r="Z30" s="94">
        <f t="shared" si="32"/>
        <v>0</v>
      </c>
      <c r="AA30" s="94">
        <f t="shared" si="32"/>
        <v>0</v>
      </c>
      <c r="AB30" s="94">
        <f t="shared" si="32"/>
        <v>0</v>
      </c>
      <c r="AC30" s="407">
        <f t="shared" si="32"/>
        <v>0</v>
      </c>
    </row>
    <row r="31" spans="1:29" ht="12">
      <c r="A31" s="45"/>
      <c r="B31" s="1430"/>
      <c r="C31" s="571" t="str">
        <f t="shared" si="31"/>
        <v>Znečištění ovzduší</v>
      </c>
      <c r="D31" s="418">
        <f t="shared" si="28"/>
        <v>0</v>
      </c>
      <c r="E31" s="894">
        <f t="shared" si="29"/>
        <v>0</v>
      </c>
      <c r="F31" s="94">
        <f t="shared" si="29"/>
        <v>0</v>
      </c>
      <c r="G31" s="94">
        <f aca="true" t="shared" si="33" ref="G31:AC31">G$127*G154+G$128*G162+G$129*G170</f>
        <v>0</v>
      </c>
      <c r="H31" s="94">
        <f t="shared" si="33"/>
        <v>0</v>
      </c>
      <c r="I31" s="94">
        <f t="shared" si="33"/>
        <v>0</v>
      </c>
      <c r="J31" s="94">
        <f t="shared" si="33"/>
        <v>0</v>
      </c>
      <c r="K31" s="94">
        <f t="shared" si="33"/>
        <v>0</v>
      </c>
      <c r="L31" s="94">
        <f t="shared" si="33"/>
        <v>0</v>
      </c>
      <c r="M31" s="94">
        <f t="shared" si="33"/>
        <v>0</v>
      </c>
      <c r="N31" s="94">
        <f t="shared" si="33"/>
        <v>0</v>
      </c>
      <c r="O31" s="94">
        <f t="shared" si="33"/>
        <v>0</v>
      </c>
      <c r="P31" s="94">
        <f t="shared" si="33"/>
        <v>0</v>
      </c>
      <c r="Q31" s="94">
        <f t="shared" si="33"/>
        <v>0</v>
      </c>
      <c r="R31" s="94">
        <f t="shared" si="33"/>
        <v>0</v>
      </c>
      <c r="S31" s="94">
        <f t="shared" si="33"/>
        <v>0</v>
      </c>
      <c r="T31" s="94">
        <f t="shared" si="33"/>
        <v>0</v>
      </c>
      <c r="U31" s="94">
        <f t="shared" si="33"/>
        <v>0</v>
      </c>
      <c r="V31" s="94">
        <f t="shared" si="33"/>
        <v>0</v>
      </c>
      <c r="W31" s="94">
        <f t="shared" si="33"/>
        <v>0</v>
      </c>
      <c r="X31" s="94">
        <f t="shared" si="33"/>
        <v>0</v>
      </c>
      <c r="Y31" s="94">
        <f t="shared" si="33"/>
        <v>0</v>
      </c>
      <c r="Z31" s="94">
        <f t="shared" si="33"/>
        <v>0</v>
      </c>
      <c r="AA31" s="94">
        <f t="shared" si="33"/>
        <v>0</v>
      </c>
      <c r="AB31" s="94">
        <f t="shared" si="33"/>
        <v>0</v>
      </c>
      <c r="AC31" s="407">
        <f t="shared" si="33"/>
        <v>0</v>
      </c>
    </row>
    <row r="32" spans="1:29" ht="12">
      <c r="A32" s="45"/>
      <c r="B32" s="1430"/>
      <c r="C32" s="571" t="str">
        <f t="shared" si="31"/>
        <v>Klimatické změny</v>
      </c>
      <c r="D32" s="418">
        <f t="shared" si="28"/>
        <v>0</v>
      </c>
      <c r="E32" s="894">
        <f t="shared" si="29"/>
        <v>0</v>
      </c>
      <c r="F32" s="94">
        <f t="shared" si="29"/>
        <v>0</v>
      </c>
      <c r="G32" s="94">
        <f aca="true" t="shared" si="34" ref="G32:AC32">G$127*G155+G$128*G163+G$129*G171</f>
        <v>0</v>
      </c>
      <c r="H32" s="94">
        <f t="shared" si="34"/>
        <v>0</v>
      </c>
      <c r="I32" s="94">
        <f t="shared" si="34"/>
        <v>0</v>
      </c>
      <c r="J32" s="94">
        <f t="shared" si="34"/>
        <v>0</v>
      </c>
      <c r="K32" s="94">
        <f t="shared" si="34"/>
        <v>0</v>
      </c>
      <c r="L32" s="94">
        <f t="shared" si="34"/>
        <v>0</v>
      </c>
      <c r="M32" s="94">
        <f t="shared" si="34"/>
        <v>0</v>
      </c>
      <c r="N32" s="94">
        <f t="shared" si="34"/>
        <v>0</v>
      </c>
      <c r="O32" s="94">
        <f t="shared" si="34"/>
        <v>0</v>
      </c>
      <c r="P32" s="94">
        <f t="shared" si="34"/>
        <v>0</v>
      </c>
      <c r="Q32" s="94">
        <f t="shared" si="34"/>
        <v>0</v>
      </c>
      <c r="R32" s="94">
        <f t="shared" si="34"/>
        <v>0</v>
      </c>
      <c r="S32" s="94">
        <f t="shared" si="34"/>
        <v>0</v>
      </c>
      <c r="T32" s="94">
        <f t="shared" si="34"/>
        <v>0</v>
      </c>
      <c r="U32" s="94">
        <f t="shared" si="34"/>
        <v>0</v>
      </c>
      <c r="V32" s="94">
        <f t="shared" si="34"/>
        <v>0</v>
      </c>
      <c r="W32" s="94">
        <f t="shared" si="34"/>
        <v>0</v>
      </c>
      <c r="X32" s="94">
        <f t="shared" si="34"/>
        <v>0</v>
      </c>
      <c r="Y32" s="94">
        <f t="shared" si="34"/>
        <v>0</v>
      </c>
      <c r="Z32" s="94">
        <f t="shared" si="34"/>
        <v>0</v>
      </c>
      <c r="AA32" s="94">
        <f t="shared" si="34"/>
        <v>0</v>
      </c>
      <c r="AB32" s="94">
        <f t="shared" si="34"/>
        <v>0</v>
      </c>
      <c r="AC32" s="407">
        <f t="shared" si="34"/>
        <v>0</v>
      </c>
    </row>
    <row r="33" spans="1:29" ht="12" customHeight="1">
      <c r="A33" s="45"/>
      <c r="B33" s="1431" t="str">
        <f>B8</f>
        <v>Nákladní doprava</v>
      </c>
      <c r="C33" s="572" t="str">
        <f t="shared" si="31"/>
        <v>Nehody</v>
      </c>
      <c r="D33" s="475">
        <f t="shared" si="28"/>
        <v>0</v>
      </c>
      <c r="E33" s="895">
        <f aca="true" t="shared" si="35" ref="E33:F36">+E$130*E156+E$131*E164+E$132*E172</f>
        <v>0</v>
      </c>
      <c r="F33" s="543">
        <f t="shared" si="35"/>
        <v>0</v>
      </c>
      <c r="G33" s="543">
        <f aca="true" t="shared" si="36" ref="G33:AC33">+G$130*G156+G$131*G164+G$132*G172</f>
        <v>0</v>
      </c>
      <c r="H33" s="543">
        <f t="shared" si="36"/>
        <v>0</v>
      </c>
      <c r="I33" s="543">
        <f t="shared" si="36"/>
        <v>0</v>
      </c>
      <c r="J33" s="543">
        <f t="shared" si="36"/>
        <v>0</v>
      </c>
      <c r="K33" s="543">
        <f t="shared" si="36"/>
        <v>0</v>
      </c>
      <c r="L33" s="543">
        <f t="shared" si="36"/>
        <v>0</v>
      </c>
      <c r="M33" s="543">
        <f t="shared" si="36"/>
        <v>0</v>
      </c>
      <c r="N33" s="543">
        <f t="shared" si="36"/>
        <v>0</v>
      </c>
      <c r="O33" s="543">
        <f t="shared" si="36"/>
        <v>0</v>
      </c>
      <c r="P33" s="543">
        <f t="shared" si="36"/>
        <v>0</v>
      </c>
      <c r="Q33" s="543">
        <f t="shared" si="36"/>
        <v>0</v>
      </c>
      <c r="R33" s="543">
        <f t="shared" si="36"/>
        <v>0</v>
      </c>
      <c r="S33" s="543">
        <f t="shared" si="36"/>
        <v>0</v>
      </c>
      <c r="T33" s="543">
        <f t="shared" si="36"/>
        <v>0</v>
      </c>
      <c r="U33" s="543">
        <f t="shared" si="36"/>
        <v>0</v>
      </c>
      <c r="V33" s="543">
        <f t="shared" si="36"/>
        <v>0</v>
      </c>
      <c r="W33" s="543">
        <f t="shared" si="36"/>
        <v>0</v>
      </c>
      <c r="X33" s="543">
        <f t="shared" si="36"/>
        <v>0</v>
      </c>
      <c r="Y33" s="543">
        <f t="shared" si="36"/>
        <v>0</v>
      </c>
      <c r="Z33" s="543">
        <f t="shared" si="36"/>
        <v>0</v>
      </c>
      <c r="AA33" s="543">
        <f t="shared" si="36"/>
        <v>0</v>
      </c>
      <c r="AB33" s="543">
        <f t="shared" si="36"/>
        <v>0</v>
      </c>
      <c r="AC33" s="550">
        <f t="shared" si="36"/>
        <v>0</v>
      </c>
    </row>
    <row r="34" spans="1:29" ht="12.75" customHeight="1">
      <c r="A34" s="56"/>
      <c r="B34" s="1432"/>
      <c r="C34" s="571" t="str">
        <f t="shared" si="31"/>
        <v>Hluk</v>
      </c>
      <c r="D34" s="418">
        <f t="shared" si="28"/>
        <v>0</v>
      </c>
      <c r="E34" s="896">
        <f t="shared" si="35"/>
        <v>0</v>
      </c>
      <c r="F34" s="60">
        <f t="shared" si="35"/>
        <v>0</v>
      </c>
      <c r="G34" s="60">
        <f aca="true" t="shared" si="37" ref="G34:AC34">+G$130*G157+G$131*G165+G$132*G173</f>
        <v>0</v>
      </c>
      <c r="H34" s="60">
        <f t="shared" si="37"/>
        <v>0</v>
      </c>
      <c r="I34" s="60">
        <f t="shared" si="37"/>
        <v>0</v>
      </c>
      <c r="J34" s="60">
        <f t="shared" si="37"/>
        <v>0</v>
      </c>
      <c r="K34" s="60">
        <f t="shared" si="37"/>
        <v>0</v>
      </c>
      <c r="L34" s="60">
        <f t="shared" si="37"/>
        <v>0</v>
      </c>
      <c r="M34" s="60">
        <f t="shared" si="37"/>
        <v>0</v>
      </c>
      <c r="N34" s="60">
        <f t="shared" si="37"/>
        <v>0</v>
      </c>
      <c r="O34" s="60">
        <f t="shared" si="37"/>
        <v>0</v>
      </c>
      <c r="P34" s="60">
        <f t="shared" si="37"/>
        <v>0</v>
      </c>
      <c r="Q34" s="60">
        <f t="shared" si="37"/>
        <v>0</v>
      </c>
      <c r="R34" s="60">
        <f t="shared" si="37"/>
        <v>0</v>
      </c>
      <c r="S34" s="60">
        <f t="shared" si="37"/>
        <v>0</v>
      </c>
      <c r="T34" s="60">
        <f t="shared" si="37"/>
        <v>0</v>
      </c>
      <c r="U34" s="60">
        <f t="shared" si="37"/>
        <v>0</v>
      </c>
      <c r="V34" s="60">
        <f t="shared" si="37"/>
        <v>0</v>
      </c>
      <c r="W34" s="60">
        <f t="shared" si="37"/>
        <v>0</v>
      </c>
      <c r="X34" s="60">
        <f t="shared" si="37"/>
        <v>0</v>
      </c>
      <c r="Y34" s="60">
        <f t="shared" si="37"/>
        <v>0</v>
      </c>
      <c r="Z34" s="60">
        <f t="shared" si="37"/>
        <v>0</v>
      </c>
      <c r="AA34" s="60">
        <f t="shared" si="37"/>
        <v>0</v>
      </c>
      <c r="AB34" s="60">
        <f t="shared" si="37"/>
        <v>0</v>
      </c>
      <c r="AC34" s="407">
        <f t="shared" si="37"/>
        <v>0</v>
      </c>
    </row>
    <row r="35" spans="1:29" ht="12.75" customHeight="1">
      <c r="A35" s="56"/>
      <c r="B35" s="1432"/>
      <c r="C35" s="571" t="str">
        <f t="shared" si="31"/>
        <v>Znečištění ovzduší</v>
      </c>
      <c r="D35" s="418">
        <f t="shared" si="28"/>
        <v>0</v>
      </c>
      <c r="E35" s="896">
        <f t="shared" si="35"/>
        <v>0</v>
      </c>
      <c r="F35" s="60">
        <f t="shared" si="35"/>
        <v>0</v>
      </c>
      <c r="G35" s="60">
        <f aca="true" t="shared" si="38" ref="G35:AC35">+G$130*G158+G$131*G166+G$132*G174</f>
        <v>0</v>
      </c>
      <c r="H35" s="60">
        <f t="shared" si="38"/>
        <v>0</v>
      </c>
      <c r="I35" s="60">
        <f t="shared" si="38"/>
        <v>0</v>
      </c>
      <c r="J35" s="60">
        <f t="shared" si="38"/>
        <v>0</v>
      </c>
      <c r="K35" s="60">
        <f t="shared" si="38"/>
        <v>0</v>
      </c>
      <c r="L35" s="60">
        <f t="shared" si="38"/>
        <v>0</v>
      </c>
      <c r="M35" s="60">
        <f t="shared" si="38"/>
        <v>0</v>
      </c>
      <c r="N35" s="60">
        <f t="shared" si="38"/>
        <v>0</v>
      </c>
      <c r="O35" s="60">
        <f t="shared" si="38"/>
        <v>0</v>
      </c>
      <c r="P35" s="60">
        <f t="shared" si="38"/>
        <v>0</v>
      </c>
      <c r="Q35" s="60">
        <f t="shared" si="38"/>
        <v>0</v>
      </c>
      <c r="R35" s="60">
        <f t="shared" si="38"/>
        <v>0</v>
      </c>
      <c r="S35" s="60">
        <f t="shared" si="38"/>
        <v>0</v>
      </c>
      <c r="T35" s="60">
        <f t="shared" si="38"/>
        <v>0</v>
      </c>
      <c r="U35" s="60">
        <f t="shared" si="38"/>
        <v>0</v>
      </c>
      <c r="V35" s="60">
        <f t="shared" si="38"/>
        <v>0</v>
      </c>
      <c r="W35" s="60">
        <f t="shared" si="38"/>
        <v>0</v>
      </c>
      <c r="X35" s="60">
        <f t="shared" si="38"/>
        <v>0</v>
      </c>
      <c r="Y35" s="60">
        <f t="shared" si="38"/>
        <v>0</v>
      </c>
      <c r="Z35" s="60">
        <f t="shared" si="38"/>
        <v>0</v>
      </c>
      <c r="AA35" s="60">
        <f t="shared" si="38"/>
        <v>0</v>
      </c>
      <c r="AB35" s="60">
        <f t="shared" si="38"/>
        <v>0</v>
      </c>
      <c r="AC35" s="407">
        <f t="shared" si="38"/>
        <v>0</v>
      </c>
    </row>
    <row r="36" spans="1:29" ht="12.75" customHeight="1">
      <c r="A36" s="56"/>
      <c r="B36" s="1433"/>
      <c r="C36" s="573" t="str">
        <f t="shared" si="31"/>
        <v>Klimatické změny</v>
      </c>
      <c r="D36" s="419">
        <f t="shared" si="28"/>
        <v>0</v>
      </c>
      <c r="E36" s="897">
        <f t="shared" si="35"/>
        <v>0</v>
      </c>
      <c r="F36" s="403">
        <f t="shared" si="35"/>
        <v>0</v>
      </c>
      <c r="G36" s="403">
        <f aca="true" t="shared" si="39" ref="G36:AC36">+G$130*G159+G$131*G167+G$132*G175</f>
        <v>0</v>
      </c>
      <c r="H36" s="403">
        <f t="shared" si="39"/>
        <v>0</v>
      </c>
      <c r="I36" s="403">
        <f t="shared" si="39"/>
        <v>0</v>
      </c>
      <c r="J36" s="403">
        <f t="shared" si="39"/>
        <v>0</v>
      </c>
      <c r="K36" s="403">
        <f t="shared" si="39"/>
        <v>0</v>
      </c>
      <c r="L36" s="403">
        <f t="shared" si="39"/>
        <v>0</v>
      </c>
      <c r="M36" s="403">
        <f t="shared" si="39"/>
        <v>0</v>
      </c>
      <c r="N36" s="403">
        <f t="shared" si="39"/>
        <v>0</v>
      </c>
      <c r="O36" s="403">
        <f t="shared" si="39"/>
        <v>0</v>
      </c>
      <c r="P36" s="403">
        <f t="shared" si="39"/>
        <v>0</v>
      </c>
      <c r="Q36" s="403">
        <f t="shared" si="39"/>
        <v>0</v>
      </c>
      <c r="R36" s="403">
        <f t="shared" si="39"/>
        <v>0</v>
      </c>
      <c r="S36" s="403">
        <f t="shared" si="39"/>
        <v>0</v>
      </c>
      <c r="T36" s="403">
        <f t="shared" si="39"/>
        <v>0</v>
      </c>
      <c r="U36" s="403">
        <f t="shared" si="39"/>
        <v>0</v>
      </c>
      <c r="V36" s="403">
        <f t="shared" si="39"/>
        <v>0</v>
      </c>
      <c r="W36" s="403">
        <f t="shared" si="39"/>
        <v>0</v>
      </c>
      <c r="X36" s="403">
        <f t="shared" si="39"/>
        <v>0</v>
      </c>
      <c r="Y36" s="403">
        <f t="shared" si="39"/>
        <v>0</v>
      </c>
      <c r="Z36" s="403">
        <f t="shared" si="39"/>
        <v>0</v>
      </c>
      <c r="AA36" s="403">
        <f t="shared" si="39"/>
        <v>0</v>
      </c>
      <c r="AB36" s="403">
        <f t="shared" si="39"/>
        <v>0</v>
      </c>
      <c r="AC36" s="408">
        <f t="shared" si="39"/>
        <v>0</v>
      </c>
    </row>
    <row r="37" spans="1:29" ht="12.75" customHeight="1" thickBot="1">
      <c r="A37" s="56"/>
      <c r="B37" s="574"/>
      <c r="C37" s="575" t="str">
        <f t="shared" si="31"/>
        <v>Celkové externí náklady</v>
      </c>
      <c r="D37" s="427">
        <f t="shared" si="28"/>
        <v>0</v>
      </c>
      <c r="E37" s="898">
        <f>SUM(E29:E36)</f>
        <v>0</v>
      </c>
      <c r="F37" s="436">
        <f>SUM(F29:F36)</f>
        <v>0</v>
      </c>
      <c r="G37" s="436">
        <f aca="true" t="shared" si="40" ref="G37:R37">SUM(G29:G36)</f>
        <v>0</v>
      </c>
      <c r="H37" s="436">
        <f t="shared" si="40"/>
        <v>0</v>
      </c>
      <c r="I37" s="436">
        <f t="shared" si="40"/>
        <v>0</v>
      </c>
      <c r="J37" s="436">
        <f t="shared" si="40"/>
        <v>0</v>
      </c>
      <c r="K37" s="436">
        <f t="shared" si="40"/>
        <v>0</v>
      </c>
      <c r="L37" s="436">
        <f t="shared" si="40"/>
        <v>0</v>
      </c>
      <c r="M37" s="436">
        <f t="shared" si="40"/>
        <v>0</v>
      </c>
      <c r="N37" s="436">
        <f t="shared" si="40"/>
        <v>0</v>
      </c>
      <c r="O37" s="436">
        <f t="shared" si="40"/>
        <v>0</v>
      </c>
      <c r="P37" s="436">
        <f t="shared" si="40"/>
        <v>0</v>
      </c>
      <c r="Q37" s="436">
        <f t="shared" si="40"/>
        <v>0</v>
      </c>
      <c r="R37" s="436">
        <f t="shared" si="40"/>
        <v>0</v>
      </c>
      <c r="S37" s="436">
        <f>SUM(S29:S36)</f>
        <v>0</v>
      </c>
      <c r="T37" s="436">
        <f aca="true" t="shared" si="41" ref="T37:AC37">SUM(T29:T36)</f>
        <v>0</v>
      </c>
      <c r="U37" s="436">
        <f t="shared" si="41"/>
        <v>0</v>
      </c>
      <c r="V37" s="436">
        <f t="shared" si="41"/>
        <v>0</v>
      </c>
      <c r="W37" s="436">
        <f t="shared" si="41"/>
        <v>0</v>
      </c>
      <c r="X37" s="436">
        <f t="shared" si="41"/>
        <v>0</v>
      </c>
      <c r="Y37" s="436">
        <f t="shared" si="41"/>
        <v>0</v>
      </c>
      <c r="Z37" s="436">
        <f t="shared" si="41"/>
        <v>0</v>
      </c>
      <c r="AA37" s="436">
        <f t="shared" si="41"/>
        <v>0</v>
      </c>
      <c r="AB37" s="436">
        <f t="shared" si="41"/>
        <v>0</v>
      </c>
      <c r="AC37" s="437">
        <f t="shared" si="41"/>
        <v>0</v>
      </c>
    </row>
    <row r="38" spans="1:29" ht="12.75" customHeight="1" thickBot="1">
      <c r="A38" s="56"/>
      <c r="B38" s="65"/>
      <c r="C38" s="56"/>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1:29" ht="12.75" customHeight="1">
      <c r="A39" s="58"/>
      <c r="B39" s="410" t="str">
        <f>B27</f>
        <v>7.2.</v>
      </c>
      <c r="C39" s="409" t="str">
        <f>C2</f>
        <v>Externí náklady</v>
      </c>
      <c r="D39" s="1012" t="str">
        <f>D27</f>
        <v>CZK</v>
      </c>
      <c r="E39" s="1363">
        <f>AC27+1</f>
        <v>2039</v>
      </c>
      <c r="F39" s="1363">
        <f aca="true" t="shared" si="42" ref="F39:S39">E39+1</f>
        <v>2040</v>
      </c>
      <c r="G39" s="1363">
        <f t="shared" si="42"/>
        <v>2041</v>
      </c>
      <c r="H39" s="1363">
        <f t="shared" si="42"/>
        <v>2042</v>
      </c>
      <c r="I39" s="1363">
        <f t="shared" si="42"/>
        <v>2043</v>
      </c>
      <c r="J39" s="1363">
        <f t="shared" si="42"/>
        <v>2044</v>
      </c>
      <c r="K39" s="1363">
        <f t="shared" si="42"/>
        <v>2045</v>
      </c>
      <c r="L39" s="1363">
        <f t="shared" si="42"/>
        <v>2046</v>
      </c>
      <c r="M39" s="1363">
        <f t="shared" si="42"/>
        <v>2047</v>
      </c>
      <c r="N39" s="1363">
        <f t="shared" si="42"/>
        <v>2048</v>
      </c>
      <c r="O39" s="1363">
        <f t="shared" si="42"/>
        <v>2049</v>
      </c>
      <c r="P39" s="1363">
        <f t="shared" si="42"/>
        <v>2050</v>
      </c>
      <c r="Q39" s="1363">
        <f t="shared" si="42"/>
        <v>2051</v>
      </c>
      <c r="R39" s="1363">
        <f t="shared" si="42"/>
        <v>2052</v>
      </c>
      <c r="S39" s="1363">
        <f t="shared" si="42"/>
        <v>2053</v>
      </c>
      <c r="T39" s="1363">
        <f aca="true" t="shared" si="43" ref="T39:AC39">S39+1</f>
        <v>2054</v>
      </c>
      <c r="U39" s="1363">
        <f t="shared" si="43"/>
        <v>2055</v>
      </c>
      <c r="V39" s="1363">
        <f t="shared" si="43"/>
        <v>2056</v>
      </c>
      <c r="W39" s="1363">
        <f t="shared" si="43"/>
        <v>2057</v>
      </c>
      <c r="X39" s="1363">
        <f t="shared" si="43"/>
        <v>2058</v>
      </c>
      <c r="Y39" s="1363">
        <f t="shared" si="43"/>
        <v>2059</v>
      </c>
      <c r="Z39" s="1363">
        <f t="shared" si="43"/>
        <v>2060</v>
      </c>
      <c r="AA39" s="1363">
        <f t="shared" si="43"/>
        <v>2061</v>
      </c>
      <c r="AB39" s="1363">
        <f t="shared" si="43"/>
        <v>2062</v>
      </c>
      <c r="AC39" s="1361">
        <f t="shared" si="43"/>
        <v>2063</v>
      </c>
    </row>
    <row r="40" spans="1:29" ht="12.75" customHeight="1" thickBot="1">
      <c r="A40" s="56"/>
      <c r="B40" s="411" t="s">
        <v>19</v>
      </c>
      <c r="C40" s="413" t="str">
        <f>C28</f>
        <v>Scénář bez projektu</v>
      </c>
      <c r="D40" s="424"/>
      <c r="E40" s="1364">
        <f>S28+1</f>
        <v>1</v>
      </c>
      <c r="F40" s="1364"/>
      <c r="G40" s="1364"/>
      <c r="H40" s="1364"/>
      <c r="I40" s="1364"/>
      <c r="J40" s="1364"/>
      <c r="K40" s="1364"/>
      <c r="L40" s="1364"/>
      <c r="M40" s="1364"/>
      <c r="N40" s="1364"/>
      <c r="O40" s="1364"/>
      <c r="P40" s="1364"/>
      <c r="Q40" s="1364"/>
      <c r="R40" s="1364"/>
      <c r="S40" s="1364"/>
      <c r="T40" s="1364"/>
      <c r="U40" s="1364"/>
      <c r="V40" s="1364"/>
      <c r="W40" s="1364"/>
      <c r="X40" s="1364"/>
      <c r="Y40" s="1364"/>
      <c r="Z40" s="1364"/>
      <c r="AA40" s="1364"/>
      <c r="AB40" s="1364"/>
      <c r="AC40" s="1362"/>
    </row>
    <row r="41" spans="1:29" ht="12.75" customHeight="1">
      <c r="A41" s="56"/>
      <c r="B41" s="1430" t="str">
        <f>B4</f>
        <v>Osobní doprava</v>
      </c>
      <c r="C41" s="576" t="str">
        <f>C4</f>
        <v>Nehody</v>
      </c>
      <c r="D41" s="577"/>
      <c r="E41" s="892">
        <f>E$136*E180+E$137*E188+E$138*E196</f>
        <v>0</v>
      </c>
      <c r="F41" s="94">
        <f aca="true" t="shared" si="44" ref="F41:AC41">F$136*F180+F$137*F188+F$138*F196</f>
        <v>0</v>
      </c>
      <c r="G41" s="94">
        <f t="shared" si="44"/>
        <v>0</v>
      </c>
      <c r="H41" s="94">
        <f t="shared" si="44"/>
        <v>0</v>
      </c>
      <c r="I41" s="94">
        <f t="shared" si="44"/>
        <v>0</v>
      </c>
      <c r="J41" s="94">
        <f t="shared" si="44"/>
        <v>0</v>
      </c>
      <c r="K41" s="94">
        <f t="shared" si="44"/>
        <v>0</v>
      </c>
      <c r="L41" s="94">
        <f t="shared" si="44"/>
        <v>0</v>
      </c>
      <c r="M41" s="94">
        <f t="shared" si="44"/>
        <v>0</v>
      </c>
      <c r="N41" s="94">
        <f t="shared" si="44"/>
        <v>0</v>
      </c>
      <c r="O41" s="94">
        <f t="shared" si="44"/>
        <v>0</v>
      </c>
      <c r="P41" s="94">
        <f t="shared" si="44"/>
        <v>0</v>
      </c>
      <c r="Q41" s="94">
        <f t="shared" si="44"/>
        <v>0</v>
      </c>
      <c r="R41" s="94">
        <f t="shared" si="44"/>
        <v>0</v>
      </c>
      <c r="S41" s="94">
        <f t="shared" si="44"/>
        <v>0</v>
      </c>
      <c r="T41" s="94">
        <f t="shared" si="44"/>
        <v>0</v>
      </c>
      <c r="U41" s="94">
        <f t="shared" si="44"/>
        <v>0</v>
      </c>
      <c r="V41" s="94">
        <f t="shared" si="44"/>
        <v>0</v>
      </c>
      <c r="W41" s="94">
        <f t="shared" si="44"/>
        <v>0</v>
      </c>
      <c r="X41" s="94">
        <f t="shared" si="44"/>
        <v>0</v>
      </c>
      <c r="Y41" s="94">
        <f t="shared" si="44"/>
        <v>0</v>
      </c>
      <c r="Z41" s="94">
        <f t="shared" si="44"/>
        <v>0</v>
      </c>
      <c r="AA41" s="94">
        <f t="shared" si="44"/>
        <v>0</v>
      </c>
      <c r="AB41" s="94">
        <f t="shared" si="44"/>
        <v>0</v>
      </c>
      <c r="AC41" s="407">
        <f t="shared" si="44"/>
        <v>0</v>
      </c>
    </row>
    <row r="42" spans="1:29" ht="12.75" customHeight="1">
      <c r="A42" s="56"/>
      <c r="B42" s="1430"/>
      <c r="C42" s="576" t="str">
        <f aca="true" t="shared" si="45" ref="C42:C49">C5</f>
        <v>Hluk</v>
      </c>
      <c r="D42" s="577"/>
      <c r="E42" s="894">
        <f>E$136*E181+E$137*E189+E$138*E197</f>
        <v>0</v>
      </c>
      <c r="F42" s="94">
        <f aca="true" t="shared" si="46" ref="F42:AC44">F$136*F181+F$137*F189+F$138*F197</f>
        <v>0</v>
      </c>
      <c r="G42" s="94">
        <f t="shared" si="46"/>
        <v>0</v>
      </c>
      <c r="H42" s="94">
        <f t="shared" si="46"/>
        <v>0</v>
      </c>
      <c r="I42" s="94">
        <f t="shared" si="46"/>
        <v>0</v>
      </c>
      <c r="J42" s="94">
        <f t="shared" si="46"/>
        <v>0</v>
      </c>
      <c r="K42" s="94">
        <f t="shared" si="46"/>
        <v>0</v>
      </c>
      <c r="L42" s="94">
        <f t="shared" si="46"/>
        <v>0</v>
      </c>
      <c r="M42" s="94">
        <f t="shared" si="46"/>
        <v>0</v>
      </c>
      <c r="N42" s="94">
        <f t="shared" si="46"/>
        <v>0</v>
      </c>
      <c r="O42" s="94">
        <f t="shared" si="46"/>
        <v>0</v>
      </c>
      <c r="P42" s="94">
        <f t="shared" si="46"/>
        <v>0</v>
      </c>
      <c r="Q42" s="94">
        <f t="shared" si="46"/>
        <v>0</v>
      </c>
      <c r="R42" s="94">
        <f t="shared" si="46"/>
        <v>0</v>
      </c>
      <c r="S42" s="94">
        <f t="shared" si="46"/>
        <v>0</v>
      </c>
      <c r="T42" s="94">
        <f t="shared" si="46"/>
        <v>0</v>
      </c>
      <c r="U42" s="94">
        <f t="shared" si="46"/>
        <v>0</v>
      </c>
      <c r="V42" s="94">
        <f t="shared" si="46"/>
        <v>0</v>
      </c>
      <c r="W42" s="94">
        <f t="shared" si="46"/>
        <v>0</v>
      </c>
      <c r="X42" s="94">
        <f t="shared" si="46"/>
        <v>0</v>
      </c>
      <c r="Y42" s="94">
        <f t="shared" si="46"/>
        <v>0</v>
      </c>
      <c r="Z42" s="94">
        <f t="shared" si="46"/>
        <v>0</v>
      </c>
      <c r="AA42" s="94">
        <f t="shared" si="46"/>
        <v>0</v>
      </c>
      <c r="AB42" s="94">
        <f t="shared" si="46"/>
        <v>0</v>
      </c>
      <c r="AC42" s="407">
        <f t="shared" si="46"/>
        <v>0</v>
      </c>
    </row>
    <row r="43" spans="1:29" ht="12.75" customHeight="1">
      <c r="A43" s="56"/>
      <c r="B43" s="1430"/>
      <c r="C43" s="576" t="str">
        <f t="shared" si="45"/>
        <v>Znečištění ovzduší</v>
      </c>
      <c r="D43" s="577"/>
      <c r="E43" s="894">
        <f aca="true" t="shared" si="47" ref="E43:T44">E$136*E182+E$137*E190+E$138*E198</f>
        <v>0</v>
      </c>
      <c r="F43" s="94">
        <f t="shared" si="47"/>
        <v>0</v>
      </c>
      <c r="G43" s="94">
        <f t="shared" si="47"/>
        <v>0</v>
      </c>
      <c r="H43" s="94">
        <f t="shared" si="47"/>
        <v>0</v>
      </c>
      <c r="I43" s="94">
        <f t="shared" si="47"/>
        <v>0</v>
      </c>
      <c r="J43" s="94">
        <f t="shared" si="47"/>
        <v>0</v>
      </c>
      <c r="K43" s="94">
        <f t="shared" si="47"/>
        <v>0</v>
      </c>
      <c r="L43" s="94">
        <f t="shared" si="47"/>
        <v>0</v>
      </c>
      <c r="M43" s="94">
        <f t="shared" si="47"/>
        <v>0</v>
      </c>
      <c r="N43" s="94">
        <f t="shared" si="47"/>
        <v>0</v>
      </c>
      <c r="O43" s="94">
        <f t="shared" si="47"/>
        <v>0</v>
      </c>
      <c r="P43" s="94">
        <f t="shared" si="47"/>
        <v>0</v>
      </c>
      <c r="Q43" s="94">
        <f t="shared" si="47"/>
        <v>0</v>
      </c>
      <c r="R43" s="94">
        <f t="shared" si="47"/>
        <v>0</v>
      </c>
      <c r="S43" s="94">
        <f t="shared" si="47"/>
        <v>0</v>
      </c>
      <c r="T43" s="94">
        <f t="shared" si="47"/>
        <v>0</v>
      </c>
      <c r="U43" s="94">
        <f t="shared" si="46"/>
        <v>0</v>
      </c>
      <c r="V43" s="94">
        <f t="shared" si="46"/>
        <v>0</v>
      </c>
      <c r="W43" s="94">
        <f t="shared" si="46"/>
        <v>0</v>
      </c>
      <c r="X43" s="94">
        <f t="shared" si="46"/>
        <v>0</v>
      </c>
      <c r="Y43" s="94">
        <f t="shared" si="46"/>
        <v>0</v>
      </c>
      <c r="Z43" s="94">
        <f t="shared" si="46"/>
        <v>0</v>
      </c>
      <c r="AA43" s="94">
        <f t="shared" si="46"/>
        <v>0</v>
      </c>
      <c r="AB43" s="94">
        <f t="shared" si="46"/>
        <v>0</v>
      </c>
      <c r="AC43" s="407">
        <f t="shared" si="46"/>
        <v>0</v>
      </c>
    </row>
    <row r="44" spans="1:29" ht="12.75" customHeight="1">
      <c r="A44" s="56"/>
      <c r="B44" s="1430"/>
      <c r="C44" s="576" t="str">
        <f t="shared" si="45"/>
        <v>Klimatické změny</v>
      </c>
      <c r="D44" s="577"/>
      <c r="E44" s="894">
        <f t="shared" si="47"/>
        <v>0</v>
      </c>
      <c r="F44" s="94">
        <f t="shared" si="46"/>
        <v>0</v>
      </c>
      <c r="G44" s="94">
        <f t="shared" si="46"/>
        <v>0</v>
      </c>
      <c r="H44" s="94">
        <f t="shared" si="46"/>
        <v>0</v>
      </c>
      <c r="I44" s="94">
        <f t="shared" si="46"/>
        <v>0</v>
      </c>
      <c r="J44" s="94">
        <f t="shared" si="46"/>
        <v>0</v>
      </c>
      <c r="K44" s="94">
        <f t="shared" si="46"/>
        <v>0</v>
      </c>
      <c r="L44" s="94">
        <f t="shared" si="46"/>
        <v>0</v>
      </c>
      <c r="M44" s="94">
        <f t="shared" si="46"/>
        <v>0</v>
      </c>
      <c r="N44" s="94">
        <f t="shared" si="46"/>
        <v>0</v>
      </c>
      <c r="O44" s="94">
        <f t="shared" si="46"/>
        <v>0</v>
      </c>
      <c r="P44" s="94">
        <f t="shared" si="46"/>
        <v>0</v>
      </c>
      <c r="Q44" s="94">
        <f t="shared" si="46"/>
        <v>0</v>
      </c>
      <c r="R44" s="94">
        <f t="shared" si="46"/>
        <v>0</v>
      </c>
      <c r="S44" s="94">
        <f t="shared" si="46"/>
        <v>0</v>
      </c>
      <c r="T44" s="94">
        <f t="shared" si="46"/>
        <v>0</v>
      </c>
      <c r="U44" s="94">
        <f t="shared" si="46"/>
        <v>0</v>
      </c>
      <c r="V44" s="94">
        <f t="shared" si="46"/>
        <v>0</v>
      </c>
      <c r="W44" s="94">
        <f t="shared" si="46"/>
        <v>0</v>
      </c>
      <c r="X44" s="94">
        <f t="shared" si="46"/>
        <v>0</v>
      </c>
      <c r="Y44" s="94">
        <f t="shared" si="46"/>
        <v>0</v>
      </c>
      <c r="Z44" s="94">
        <f t="shared" si="46"/>
        <v>0</v>
      </c>
      <c r="AA44" s="94">
        <f t="shared" si="46"/>
        <v>0</v>
      </c>
      <c r="AB44" s="94">
        <f t="shared" si="46"/>
        <v>0</v>
      </c>
      <c r="AC44" s="407">
        <f t="shared" si="46"/>
        <v>0</v>
      </c>
    </row>
    <row r="45" spans="1:29" ht="12.75" customHeight="1">
      <c r="A45" s="56"/>
      <c r="B45" s="1431" t="str">
        <f>B8</f>
        <v>Nákladní doprava</v>
      </c>
      <c r="C45" s="578" t="str">
        <f t="shared" si="45"/>
        <v>Nehody</v>
      </c>
      <c r="D45" s="579"/>
      <c r="E45" s="895">
        <f aca="true" t="shared" si="48" ref="E45:AC45">+E$139*E184+E$140*E192+E$141*E200</f>
        <v>0</v>
      </c>
      <c r="F45" s="543">
        <f t="shared" si="48"/>
        <v>0</v>
      </c>
      <c r="G45" s="543">
        <f t="shared" si="48"/>
        <v>0</v>
      </c>
      <c r="H45" s="543">
        <f t="shared" si="48"/>
        <v>0</v>
      </c>
      <c r="I45" s="543">
        <f t="shared" si="48"/>
        <v>0</v>
      </c>
      <c r="J45" s="543">
        <f t="shared" si="48"/>
        <v>0</v>
      </c>
      <c r="K45" s="543">
        <f t="shared" si="48"/>
        <v>0</v>
      </c>
      <c r="L45" s="543">
        <f t="shared" si="48"/>
        <v>0</v>
      </c>
      <c r="M45" s="543">
        <f t="shared" si="48"/>
        <v>0</v>
      </c>
      <c r="N45" s="543">
        <f t="shared" si="48"/>
        <v>0</v>
      </c>
      <c r="O45" s="543">
        <f t="shared" si="48"/>
        <v>0</v>
      </c>
      <c r="P45" s="543">
        <f t="shared" si="48"/>
        <v>0</v>
      </c>
      <c r="Q45" s="543">
        <f t="shared" si="48"/>
        <v>0</v>
      </c>
      <c r="R45" s="543">
        <f t="shared" si="48"/>
        <v>0</v>
      </c>
      <c r="S45" s="543">
        <f t="shared" si="48"/>
        <v>0</v>
      </c>
      <c r="T45" s="543">
        <f t="shared" si="48"/>
        <v>0</v>
      </c>
      <c r="U45" s="543">
        <f t="shared" si="48"/>
        <v>0</v>
      </c>
      <c r="V45" s="543">
        <f t="shared" si="48"/>
        <v>0</v>
      </c>
      <c r="W45" s="543">
        <f t="shared" si="48"/>
        <v>0</v>
      </c>
      <c r="X45" s="543">
        <f t="shared" si="48"/>
        <v>0</v>
      </c>
      <c r="Y45" s="543">
        <f t="shared" si="48"/>
        <v>0</v>
      </c>
      <c r="Z45" s="543">
        <f t="shared" si="48"/>
        <v>0</v>
      </c>
      <c r="AA45" s="543">
        <f t="shared" si="48"/>
        <v>0</v>
      </c>
      <c r="AB45" s="543">
        <f t="shared" si="48"/>
        <v>0</v>
      </c>
      <c r="AC45" s="550">
        <f t="shared" si="48"/>
        <v>0</v>
      </c>
    </row>
    <row r="46" spans="1:29" ht="12.75" customHeight="1">
      <c r="A46" s="56"/>
      <c r="B46" s="1432"/>
      <c r="C46" s="576" t="str">
        <f t="shared" si="45"/>
        <v>Hluk</v>
      </c>
      <c r="D46" s="580"/>
      <c r="E46" s="896">
        <f aca="true" t="shared" si="49" ref="E46:AC46">+E$139*E185+E$140*E193+E$141*E201</f>
        <v>0</v>
      </c>
      <c r="F46" s="60">
        <f t="shared" si="49"/>
        <v>0</v>
      </c>
      <c r="G46" s="60">
        <f t="shared" si="49"/>
        <v>0</v>
      </c>
      <c r="H46" s="60">
        <f t="shared" si="49"/>
        <v>0</v>
      </c>
      <c r="I46" s="60">
        <f t="shared" si="49"/>
        <v>0</v>
      </c>
      <c r="J46" s="60">
        <f t="shared" si="49"/>
        <v>0</v>
      </c>
      <c r="K46" s="60">
        <f t="shared" si="49"/>
        <v>0</v>
      </c>
      <c r="L46" s="60">
        <f t="shared" si="49"/>
        <v>0</v>
      </c>
      <c r="M46" s="60">
        <f t="shared" si="49"/>
        <v>0</v>
      </c>
      <c r="N46" s="60">
        <f t="shared" si="49"/>
        <v>0</v>
      </c>
      <c r="O46" s="60">
        <f t="shared" si="49"/>
        <v>0</v>
      </c>
      <c r="P46" s="60">
        <f t="shared" si="49"/>
        <v>0</v>
      </c>
      <c r="Q46" s="60">
        <f t="shared" si="49"/>
        <v>0</v>
      </c>
      <c r="R46" s="60">
        <f t="shared" si="49"/>
        <v>0</v>
      </c>
      <c r="S46" s="60">
        <f t="shared" si="49"/>
        <v>0</v>
      </c>
      <c r="T46" s="60">
        <f t="shared" si="49"/>
        <v>0</v>
      </c>
      <c r="U46" s="60">
        <f t="shared" si="49"/>
        <v>0</v>
      </c>
      <c r="V46" s="60">
        <f t="shared" si="49"/>
        <v>0</v>
      </c>
      <c r="W46" s="60">
        <f t="shared" si="49"/>
        <v>0</v>
      </c>
      <c r="X46" s="60">
        <f t="shared" si="49"/>
        <v>0</v>
      </c>
      <c r="Y46" s="60">
        <f t="shared" si="49"/>
        <v>0</v>
      </c>
      <c r="Z46" s="60">
        <f t="shared" si="49"/>
        <v>0</v>
      </c>
      <c r="AA46" s="60">
        <f t="shared" si="49"/>
        <v>0</v>
      </c>
      <c r="AB46" s="60">
        <f t="shared" si="49"/>
        <v>0</v>
      </c>
      <c r="AC46" s="407">
        <f t="shared" si="49"/>
        <v>0</v>
      </c>
    </row>
    <row r="47" spans="1:29" ht="12.75" customHeight="1">
      <c r="A47" s="56"/>
      <c r="B47" s="1432"/>
      <c r="C47" s="576" t="str">
        <f t="shared" si="45"/>
        <v>Znečištění ovzduší</v>
      </c>
      <c r="D47" s="580"/>
      <c r="E47" s="896">
        <f aca="true" t="shared" si="50" ref="E47:AC47">+E$139*E186+E$140*E194+E$141*E202</f>
        <v>0</v>
      </c>
      <c r="F47" s="60">
        <f t="shared" si="50"/>
        <v>0</v>
      </c>
      <c r="G47" s="60">
        <f t="shared" si="50"/>
        <v>0</v>
      </c>
      <c r="H47" s="60">
        <f t="shared" si="50"/>
        <v>0</v>
      </c>
      <c r="I47" s="60">
        <f t="shared" si="50"/>
        <v>0</v>
      </c>
      <c r="J47" s="60">
        <f t="shared" si="50"/>
        <v>0</v>
      </c>
      <c r="K47" s="60">
        <f t="shared" si="50"/>
        <v>0</v>
      </c>
      <c r="L47" s="60">
        <f t="shared" si="50"/>
        <v>0</v>
      </c>
      <c r="M47" s="60">
        <f t="shared" si="50"/>
        <v>0</v>
      </c>
      <c r="N47" s="60">
        <f t="shared" si="50"/>
        <v>0</v>
      </c>
      <c r="O47" s="60">
        <f t="shared" si="50"/>
        <v>0</v>
      </c>
      <c r="P47" s="60">
        <f t="shared" si="50"/>
        <v>0</v>
      </c>
      <c r="Q47" s="60">
        <f t="shared" si="50"/>
        <v>0</v>
      </c>
      <c r="R47" s="60">
        <f t="shared" si="50"/>
        <v>0</v>
      </c>
      <c r="S47" s="60">
        <f t="shared" si="50"/>
        <v>0</v>
      </c>
      <c r="T47" s="60">
        <f t="shared" si="50"/>
        <v>0</v>
      </c>
      <c r="U47" s="60">
        <f t="shared" si="50"/>
        <v>0</v>
      </c>
      <c r="V47" s="60">
        <f t="shared" si="50"/>
        <v>0</v>
      </c>
      <c r="W47" s="60">
        <f t="shared" si="50"/>
        <v>0</v>
      </c>
      <c r="X47" s="60">
        <f t="shared" si="50"/>
        <v>0</v>
      </c>
      <c r="Y47" s="60">
        <f t="shared" si="50"/>
        <v>0</v>
      </c>
      <c r="Z47" s="60">
        <f t="shared" si="50"/>
        <v>0</v>
      </c>
      <c r="AA47" s="60">
        <f t="shared" si="50"/>
        <v>0</v>
      </c>
      <c r="AB47" s="60">
        <f t="shared" si="50"/>
        <v>0</v>
      </c>
      <c r="AC47" s="407">
        <f t="shared" si="50"/>
        <v>0</v>
      </c>
    </row>
    <row r="48" spans="1:29" ht="12.75" customHeight="1">
      <c r="A48" s="56"/>
      <c r="B48" s="1433"/>
      <c r="C48" s="581" t="str">
        <f t="shared" si="45"/>
        <v>Klimatické změny</v>
      </c>
      <c r="D48" s="582"/>
      <c r="E48" s="897">
        <f aca="true" t="shared" si="51" ref="E48:AC48">+E$139*E187+E$140*E195+E$141*E203</f>
        <v>0</v>
      </c>
      <c r="F48" s="403">
        <f t="shared" si="51"/>
        <v>0</v>
      </c>
      <c r="G48" s="403">
        <f t="shared" si="51"/>
        <v>0</v>
      </c>
      <c r="H48" s="403">
        <f t="shared" si="51"/>
        <v>0</v>
      </c>
      <c r="I48" s="403">
        <f t="shared" si="51"/>
        <v>0</v>
      </c>
      <c r="J48" s="403">
        <f t="shared" si="51"/>
        <v>0</v>
      </c>
      <c r="K48" s="403">
        <f t="shared" si="51"/>
        <v>0</v>
      </c>
      <c r="L48" s="403">
        <f t="shared" si="51"/>
        <v>0</v>
      </c>
      <c r="M48" s="403">
        <f t="shared" si="51"/>
        <v>0</v>
      </c>
      <c r="N48" s="403">
        <f t="shared" si="51"/>
        <v>0</v>
      </c>
      <c r="O48" s="403">
        <f t="shared" si="51"/>
        <v>0</v>
      </c>
      <c r="P48" s="403">
        <f t="shared" si="51"/>
        <v>0</v>
      </c>
      <c r="Q48" s="403">
        <f t="shared" si="51"/>
        <v>0</v>
      </c>
      <c r="R48" s="403">
        <f t="shared" si="51"/>
        <v>0</v>
      </c>
      <c r="S48" s="403">
        <f t="shared" si="51"/>
        <v>0</v>
      </c>
      <c r="T48" s="403">
        <f t="shared" si="51"/>
        <v>0</v>
      </c>
      <c r="U48" s="403">
        <f t="shared" si="51"/>
        <v>0</v>
      </c>
      <c r="V48" s="403">
        <f t="shared" si="51"/>
        <v>0</v>
      </c>
      <c r="W48" s="403">
        <f t="shared" si="51"/>
        <v>0</v>
      </c>
      <c r="X48" s="403">
        <f t="shared" si="51"/>
        <v>0</v>
      </c>
      <c r="Y48" s="403">
        <f t="shared" si="51"/>
        <v>0</v>
      </c>
      <c r="Z48" s="403">
        <f t="shared" si="51"/>
        <v>0</v>
      </c>
      <c r="AA48" s="403">
        <f t="shared" si="51"/>
        <v>0</v>
      </c>
      <c r="AB48" s="403">
        <f t="shared" si="51"/>
        <v>0</v>
      </c>
      <c r="AC48" s="408">
        <f t="shared" si="51"/>
        <v>0</v>
      </c>
    </row>
    <row r="49" spans="1:29" ht="12.75" customHeight="1" thickBot="1">
      <c r="A49" s="48"/>
      <c r="B49" s="574"/>
      <c r="C49" s="583" t="str">
        <f t="shared" si="45"/>
        <v>Celkové externí náklady</v>
      </c>
      <c r="D49" s="584"/>
      <c r="E49" s="898">
        <f>SUM(E41:E48)</f>
        <v>0</v>
      </c>
      <c r="F49" s="436">
        <f>SUM(F41:F48)</f>
        <v>0</v>
      </c>
      <c r="G49" s="436">
        <f aca="true" t="shared" si="52" ref="G49:R49">SUM(G41:G48)</f>
        <v>0</v>
      </c>
      <c r="H49" s="436">
        <f t="shared" si="52"/>
        <v>0</v>
      </c>
      <c r="I49" s="436">
        <f t="shared" si="52"/>
        <v>0</v>
      </c>
      <c r="J49" s="436">
        <f t="shared" si="52"/>
        <v>0</v>
      </c>
      <c r="K49" s="436">
        <f t="shared" si="52"/>
        <v>0</v>
      </c>
      <c r="L49" s="436">
        <f t="shared" si="52"/>
        <v>0</v>
      </c>
      <c r="M49" s="436">
        <f t="shared" si="52"/>
        <v>0</v>
      </c>
      <c r="N49" s="436">
        <f t="shared" si="52"/>
        <v>0</v>
      </c>
      <c r="O49" s="436">
        <f t="shared" si="52"/>
        <v>0</v>
      </c>
      <c r="P49" s="436">
        <f t="shared" si="52"/>
        <v>0</v>
      </c>
      <c r="Q49" s="436">
        <f t="shared" si="52"/>
        <v>0</v>
      </c>
      <c r="R49" s="436">
        <f t="shared" si="52"/>
        <v>0</v>
      </c>
      <c r="S49" s="436">
        <f>SUM(S41:S48)</f>
        <v>0</v>
      </c>
      <c r="T49" s="436">
        <f aca="true" t="shared" si="53" ref="T49:AC49">SUM(T41:T48)</f>
        <v>0</v>
      </c>
      <c r="U49" s="436">
        <f t="shared" si="53"/>
        <v>0</v>
      </c>
      <c r="V49" s="436">
        <f t="shared" si="53"/>
        <v>0</v>
      </c>
      <c r="W49" s="436">
        <f t="shared" si="53"/>
        <v>0</v>
      </c>
      <c r="X49" s="436">
        <f t="shared" si="53"/>
        <v>0</v>
      </c>
      <c r="Y49" s="436">
        <f t="shared" si="53"/>
        <v>0</v>
      </c>
      <c r="Z49" s="436">
        <f t="shared" si="53"/>
        <v>0</v>
      </c>
      <c r="AA49" s="436">
        <f t="shared" si="53"/>
        <v>0</v>
      </c>
      <c r="AB49" s="436">
        <f t="shared" si="53"/>
        <v>0</v>
      </c>
      <c r="AC49" s="437">
        <f t="shared" si="53"/>
        <v>0</v>
      </c>
    </row>
    <row r="50" spans="1:29" ht="12.75" customHeight="1">
      <c r="A50" s="48"/>
      <c r="B50" s="63"/>
      <c r="C50" s="48"/>
      <c r="D50" s="57"/>
      <c r="E50" s="64"/>
      <c r="F50" s="64"/>
      <c r="G50" s="64"/>
      <c r="H50" s="64"/>
      <c r="I50" s="64"/>
      <c r="J50" s="64"/>
      <c r="K50" s="64"/>
      <c r="L50" s="64"/>
      <c r="M50" s="64"/>
      <c r="N50" s="64"/>
      <c r="O50" s="64"/>
      <c r="P50" s="64"/>
      <c r="Q50" s="64"/>
      <c r="R50" s="64"/>
      <c r="S50" s="64"/>
      <c r="T50" s="64"/>
      <c r="U50" s="64"/>
      <c r="V50" s="64"/>
      <c r="W50" s="64"/>
      <c r="X50" s="64"/>
      <c r="Y50" s="64"/>
      <c r="Z50" s="64"/>
      <c r="AA50" s="64"/>
      <c r="AB50" s="64"/>
      <c r="AC50" s="64"/>
    </row>
    <row r="51" spans="1:29" ht="12.75" customHeight="1" thickBot="1">
      <c r="A51" s="56"/>
      <c r="B51" s="63"/>
      <c r="C51" s="58"/>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row>
    <row r="52" spans="1:29" ht="12.75" customHeight="1">
      <c r="A52" s="58"/>
      <c r="B52" s="410" t="s">
        <v>12</v>
      </c>
      <c r="C52" s="409" t="str">
        <f>IF('0 Úvod'!$M$3="English",Slovnik!D217,Slovnik!C217)</f>
        <v>Celkem externí efekty - úspory</v>
      </c>
      <c r="D52" s="1013" t="str">
        <f>D2</f>
        <v>CZK</v>
      </c>
      <c r="E52" s="1363">
        <f>E2</f>
        <v>2014</v>
      </c>
      <c r="F52" s="1363">
        <f aca="true" t="shared" si="54" ref="F52:S52">E52+1</f>
        <v>2015</v>
      </c>
      <c r="G52" s="1363">
        <f t="shared" si="54"/>
        <v>2016</v>
      </c>
      <c r="H52" s="1363">
        <f t="shared" si="54"/>
        <v>2017</v>
      </c>
      <c r="I52" s="1363">
        <f t="shared" si="54"/>
        <v>2018</v>
      </c>
      <c r="J52" s="1363">
        <f t="shared" si="54"/>
        <v>2019</v>
      </c>
      <c r="K52" s="1363">
        <f t="shared" si="54"/>
        <v>2020</v>
      </c>
      <c r="L52" s="1363">
        <f t="shared" si="54"/>
        <v>2021</v>
      </c>
      <c r="M52" s="1363">
        <f t="shared" si="54"/>
        <v>2022</v>
      </c>
      <c r="N52" s="1363">
        <f t="shared" si="54"/>
        <v>2023</v>
      </c>
      <c r="O52" s="1363">
        <f t="shared" si="54"/>
        <v>2024</v>
      </c>
      <c r="P52" s="1363">
        <f t="shared" si="54"/>
        <v>2025</v>
      </c>
      <c r="Q52" s="1363">
        <f t="shared" si="54"/>
        <v>2026</v>
      </c>
      <c r="R52" s="1363">
        <f t="shared" si="54"/>
        <v>2027</v>
      </c>
      <c r="S52" s="1363">
        <f t="shared" si="54"/>
        <v>2028</v>
      </c>
      <c r="T52" s="1363">
        <f aca="true" t="shared" si="55" ref="T52:AC52">S52+1</f>
        <v>2029</v>
      </c>
      <c r="U52" s="1363">
        <f t="shared" si="55"/>
        <v>2030</v>
      </c>
      <c r="V52" s="1363">
        <f t="shared" si="55"/>
        <v>2031</v>
      </c>
      <c r="W52" s="1363">
        <f t="shared" si="55"/>
        <v>2032</v>
      </c>
      <c r="X52" s="1363">
        <f t="shared" si="55"/>
        <v>2033</v>
      </c>
      <c r="Y52" s="1363">
        <f t="shared" si="55"/>
        <v>2034</v>
      </c>
      <c r="Z52" s="1363">
        <f t="shared" si="55"/>
        <v>2035</v>
      </c>
      <c r="AA52" s="1363">
        <f t="shared" si="55"/>
        <v>2036</v>
      </c>
      <c r="AB52" s="1363">
        <f t="shared" si="55"/>
        <v>2037</v>
      </c>
      <c r="AC52" s="1361">
        <f t="shared" si="55"/>
        <v>2038</v>
      </c>
    </row>
    <row r="53" spans="1:29" ht="12.75" customHeight="1" thickBot="1">
      <c r="A53" s="58"/>
      <c r="B53" s="411" t="s">
        <v>17</v>
      </c>
      <c r="C53" s="412"/>
      <c r="D53" s="417" t="str">
        <f>D3</f>
        <v>Celkem</v>
      </c>
      <c r="E53" s="1364"/>
      <c r="F53" s="1364"/>
      <c r="G53" s="1364"/>
      <c r="H53" s="1364"/>
      <c r="I53" s="1364"/>
      <c r="J53" s="1364"/>
      <c r="K53" s="1364"/>
      <c r="L53" s="1364"/>
      <c r="M53" s="1364"/>
      <c r="N53" s="1364"/>
      <c r="O53" s="1364"/>
      <c r="P53" s="1364"/>
      <c r="Q53" s="1364"/>
      <c r="R53" s="1364"/>
      <c r="S53" s="1364"/>
      <c r="T53" s="1364"/>
      <c r="U53" s="1364"/>
      <c r="V53" s="1364"/>
      <c r="W53" s="1364"/>
      <c r="X53" s="1364"/>
      <c r="Y53" s="1364"/>
      <c r="Z53" s="1364"/>
      <c r="AA53" s="1364"/>
      <c r="AB53" s="1364"/>
      <c r="AC53" s="1362"/>
    </row>
    <row r="54" spans="1:29" ht="12.75" customHeight="1">
      <c r="A54" s="66"/>
      <c r="B54" s="1430" t="str">
        <f>B4</f>
        <v>Osobní doprava</v>
      </c>
      <c r="C54" s="571" t="str">
        <f>C4</f>
        <v>Nehody</v>
      </c>
      <c r="D54" s="418">
        <f>SUM(E54:AC54,E66:AC66)</f>
        <v>0</v>
      </c>
      <c r="E54" s="62">
        <f>E29-(E4)</f>
        <v>0</v>
      </c>
      <c r="F54" s="62">
        <f>F29-(F4)</f>
        <v>0</v>
      </c>
      <c r="G54" s="62">
        <f aca="true" t="shared" si="56" ref="G54:AC54">G29-(G4)</f>
        <v>0</v>
      </c>
      <c r="H54" s="62">
        <f t="shared" si="56"/>
        <v>0</v>
      </c>
      <c r="I54" s="62">
        <f t="shared" si="56"/>
        <v>0</v>
      </c>
      <c r="J54" s="62">
        <f t="shared" si="56"/>
        <v>0</v>
      </c>
      <c r="K54" s="62">
        <f t="shared" si="56"/>
        <v>0</v>
      </c>
      <c r="L54" s="62">
        <f t="shared" si="56"/>
        <v>0</v>
      </c>
      <c r="M54" s="62">
        <f t="shared" si="56"/>
        <v>0</v>
      </c>
      <c r="N54" s="62">
        <f t="shared" si="56"/>
        <v>0</v>
      </c>
      <c r="O54" s="62">
        <f t="shared" si="56"/>
        <v>0</v>
      </c>
      <c r="P54" s="62">
        <f t="shared" si="56"/>
        <v>0</v>
      </c>
      <c r="Q54" s="62">
        <f t="shared" si="56"/>
        <v>0</v>
      </c>
      <c r="R54" s="62">
        <f t="shared" si="56"/>
        <v>0</v>
      </c>
      <c r="S54" s="62">
        <f t="shared" si="56"/>
        <v>0</v>
      </c>
      <c r="T54" s="62">
        <f t="shared" si="56"/>
        <v>0</v>
      </c>
      <c r="U54" s="62">
        <f t="shared" si="56"/>
        <v>0</v>
      </c>
      <c r="V54" s="62">
        <f t="shared" si="56"/>
        <v>0</v>
      </c>
      <c r="W54" s="62">
        <f t="shared" si="56"/>
        <v>0</v>
      </c>
      <c r="X54" s="62">
        <f t="shared" si="56"/>
        <v>0</v>
      </c>
      <c r="Y54" s="62">
        <f t="shared" si="56"/>
        <v>0</v>
      </c>
      <c r="Z54" s="62">
        <f t="shared" si="56"/>
        <v>0</v>
      </c>
      <c r="AA54" s="62">
        <f t="shared" si="56"/>
        <v>0</v>
      </c>
      <c r="AB54" s="62">
        <f t="shared" si="56"/>
        <v>0</v>
      </c>
      <c r="AC54" s="407">
        <f t="shared" si="56"/>
        <v>0</v>
      </c>
    </row>
    <row r="55" spans="1:29" ht="12.75" customHeight="1">
      <c r="A55" s="66"/>
      <c r="B55" s="1430"/>
      <c r="C55" s="571" t="str">
        <f aca="true" t="shared" si="57" ref="C55:C61">C5</f>
        <v>Hluk</v>
      </c>
      <c r="D55" s="418">
        <f>SUM(E55:AC55,E67:AC67)</f>
        <v>0</v>
      </c>
      <c r="E55" s="57">
        <f>E30-(E5)</f>
        <v>0</v>
      </c>
      <c r="F55" s="57">
        <f>F30-(F5)</f>
        <v>0</v>
      </c>
      <c r="G55" s="57">
        <f aca="true" t="shared" si="58" ref="G55:AC55">G30-(G5)</f>
        <v>0</v>
      </c>
      <c r="H55" s="57">
        <f t="shared" si="58"/>
        <v>0</v>
      </c>
      <c r="I55" s="57">
        <f t="shared" si="58"/>
        <v>0</v>
      </c>
      <c r="J55" s="57">
        <f t="shared" si="58"/>
        <v>0</v>
      </c>
      <c r="K55" s="57">
        <f t="shared" si="58"/>
        <v>0</v>
      </c>
      <c r="L55" s="57">
        <f t="shared" si="58"/>
        <v>0</v>
      </c>
      <c r="M55" s="57">
        <f t="shared" si="58"/>
        <v>0</v>
      </c>
      <c r="N55" s="57">
        <f t="shared" si="58"/>
        <v>0</v>
      </c>
      <c r="O55" s="57">
        <f t="shared" si="58"/>
        <v>0</v>
      </c>
      <c r="P55" s="57">
        <f t="shared" si="58"/>
        <v>0</v>
      </c>
      <c r="Q55" s="57">
        <f t="shared" si="58"/>
        <v>0</v>
      </c>
      <c r="R55" s="57">
        <f t="shared" si="58"/>
        <v>0</v>
      </c>
      <c r="S55" s="57">
        <f t="shared" si="58"/>
        <v>0</v>
      </c>
      <c r="T55" s="57">
        <f t="shared" si="58"/>
        <v>0</v>
      </c>
      <c r="U55" s="57">
        <f t="shared" si="58"/>
        <v>0</v>
      </c>
      <c r="V55" s="57">
        <f t="shared" si="58"/>
        <v>0</v>
      </c>
      <c r="W55" s="57">
        <f t="shared" si="58"/>
        <v>0</v>
      </c>
      <c r="X55" s="57">
        <f t="shared" si="58"/>
        <v>0</v>
      </c>
      <c r="Y55" s="57">
        <f t="shared" si="58"/>
        <v>0</v>
      </c>
      <c r="Z55" s="57">
        <f t="shared" si="58"/>
        <v>0</v>
      </c>
      <c r="AA55" s="57">
        <f t="shared" si="58"/>
        <v>0</v>
      </c>
      <c r="AB55" s="57">
        <f t="shared" si="58"/>
        <v>0</v>
      </c>
      <c r="AC55" s="549">
        <f t="shared" si="58"/>
        <v>0</v>
      </c>
    </row>
    <row r="56" spans="1:29" ht="12.75" customHeight="1">
      <c r="A56" s="66"/>
      <c r="B56" s="1430"/>
      <c r="C56" s="571" t="str">
        <f t="shared" si="57"/>
        <v>Znečištění ovzduší</v>
      </c>
      <c r="D56" s="418">
        <f aca="true" t="shared" si="59" ref="D56:D62">SUM(E56:AC56,E68:AC68)</f>
        <v>0</v>
      </c>
      <c r="E56" s="57">
        <f aca="true" t="shared" si="60" ref="E56:F61">E31-(E6)</f>
        <v>0</v>
      </c>
      <c r="F56" s="57">
        <f t="shared" si="60"/>
        <v>0</v>
      </c>
      <c r="G56" s="57">
        <f aca="true" t="shared" si="61" ref="G56:AC56">G31-(G6)</f>
        <v>0</v>
      </c>
      <c r="H56" s="57">
        <f t="shared" si="61"/>
        <v>0</v>
      </c>
      <c r="I56" s="57">
        <f t="shared" si="61"/>
        <v>0</v>
      </c>
      <c r="J56" s="57">
        <f t="shared" si="61"/>
        <v>0</v>
      </c>
      <c r="K56" s="57">
        <f t="shared" si="61"/>
        <v>0</v>
      </c>
      <c r="L56" s="57">
        <f t="shared" si="61"/>
        <v>0</v>
      </c>
      <c r="M56" s="57">
        <f t="shared" si="61"/>
        <v>0</v>
      </c>
      <c r="N56" s="57">
        <f t="shared" si="61"/>
        <v>0</v>
      </c>
      <c r="O56" s="57">
        <f t="shared" si="61"/>
        <v>0</v>
      </c>
      <c r="P56" s="57">
        <f t="shared" si="61"/>
        <v>0</v>
      </c>
      <c r="Q56" s="57">
        <f t="shared" si="61"/>
        <v>0</v>
      </c>
      <c r="R56" s="57">
        <f t="shared" si="61"/>
        <v>0</v>
      </c>
      <c r="S56" s="57">
        <f t="shared" si="61"/>
        <v>0</v>
      </c>
      <c r="T56" s="57">
        <f t="shared" si="61"/>
        <v>0</v>
      </c>
      <c r="U56" s="57">
        <f t="shared" si="61"/>
        <v>0</v>
      </c>
      <c r="V56" s="57">
        <f t="shared" si="61"/>
        <v>0</v>
      </c>
      <c r="W56" s="57">
        <f t="shared" si="61"/>
        <v>0</v>
      </c>
      <c r="X56" s="57">
        <f t="shared" si="61"/>
        <v>0</v>
      </c>
      <c r="Y56" s="57">
        <f t="shared" si="61"/>
        <v>0</v>
      </c>
      <c r="Z56" s="57">
        <f t="shared" si="61"/>
        <v>0</v>
      </c>
      <c r="AA56" s="57">
        <f t="shared" si="61"/>
        <v>0</v>
      </c>
      <c r="AB56" s="57">
        <f t="shared" si="61"/>
        <v>0</v>
      </c>
      <c r="AC56" s="549">
        <f t="shared" si="61"/>
        <v>0</v>
      </c>
    </row>
    <row r="57" spans="1:29" ht="12.75" customHeight="1">
      <c r="A57" s="66"/>
      <c r="B57" s="1430"/>
      <c r="C57" s="571" t="str">
        <f t="shared" si="57"/>
        <v>Klimatické změny</v>
      </c>
      <c r="D57" s="418">
        <f t="shared" si="59"/>
        <v>0</v>
      </c>
      <c r="E57" s="57">
        <f t="shared" si="60"/>
        <v>0</v>
      </c>
      <c r="F57" s="57">
        <f t="shared" si="60"/>
        <v>0</v>
      </c>
      <c r="G57" s="57">
        <f aca="true" t="shared" si="62" ref="G57:AC57">G32-(G7)</f>
        <v>0</v>
      </c>
      <c r="H57" s="57">
        <f t="shared" si="62"/>
        <v>0</v>
      </c>
      <c r="I57" s="57">
        <f t="shared" si="62"/>
        <v>0</v>
      </c>
      <c r="J57" s="57">
        <f t="shared" si="62"/>
        <v>0</v>
      </c>
      <c r="K57" s="57">
        <f t="shared" si="62"/>
        <v>0</v>
      </c>
      <c r="L57" s="57">
        <f t="shared" si="62"/>
        <v>0</v>
      </c>
      <c r="M57" s="57">
        <f t="shared" si="62"/>
        <v>0</v>
      </c>
      <c r="N57" s="57">
        <f t="shared" si="62"/>
        <v>0</v>
      </c>
      <c r="O57" s="57">
        <f t="shared" si="62"/>
        <v>0</v>
      </c>
      <c r="P57" s="57">
        <f t="shared" si="62"/>
        <v>0</v>
      </c>
      <c r="Q57" s="57">
        <f t="shared" si="62"/>
        <v>0</v>
      </c>
      <c r="R57" s="57">
        <f t="shared" si="62"/>
        <v>0</v>
      </c>
      <c r="S57" s="57">
        <f t="shared" si="62"/>
        <v>0</v>
      </c>
      <c r="T57" s="57">
        <f t="shared" si="62"/>
        <v>0</v>
      </c>
      <c r="U57" s="57">
        <f t="shared" si="62"/>
        <v>0</v>
      </c>
      <c r="V57" s="57">
        <f t="shared" si="62"/>
        <v>0</v>
      </c>
      <c r="W57" s="57">
        <f t="shared" si="62"/>
        <v>0</v>
      </c>
      <c r="X57" s="57">
        <f t="shared" si="62"/>
        <v>0</v>
      </c>
      <c r="Y57" s="57">
        <f t="shared" si="62"/>
        <v>0</v>
      </c>
      <c r="Z57" s="57">
        <f t="shared" si="62"/>
        <v>0</v>
      </c>
      <c r="AA57" s="57">
        <f t="shared" si="62"/>
        <v>0</v>
      </c>
      <c r="AB57" s="57">
        <f t="shared" si="62"/>
        <v>0</v>
      </c>
      <c r="AC57" s="549">
        <f t="shared" si="62"/>
        <v>0</v>
      </c>
    </row>
    <row r="58" spans="1:29" ht="12.75" customHeight="1">
      <c r="A58" s="66"/>
      <c r="B58" s="1431" t="str">
        <f>B8</f>
        <v>Nákladní doprava</v>
      </c>
      <c r="C58" s="572" t="str">
        <f t="shared" si="57"/>
        <v>Nehody</v>
      </c>
      <c r="D58" s="475">
        <f t="shared" si="59"/>
        <v>0</v>
      </c>
      <c r="E58" s="544">
        <f t="shared" si="60"/>
        <v>0</v>
      </c>
      <c r="F58" s="544">
        <f t="shared" si="60"/>
        <v>0</v>
      </c>
      <c r="G58" s="544">
        <f aca="true" t="shared" si="63" ref="G58:AC58">G33-(G8)</f>
        <v>0</v>
      </c>
      <c r="H58" s="544">
        <f t="shared" si="63"/>
        <v>0</v>
      </c>
      <c r="I58" s="544">
        <f t="shared" si="63"/>
        <v>0</v>
      </c>
      <c r="J58" s="544">
        <f t="shared" si="63"/>
        <v>0</v>
      </c>
      <c r="K58" s="544">
        <f t="shared" si="63"/>
        <v>0</v>
      </c>
      <c r="L58" s="544">
        <f t="shared" si="63"/>
        <v>0</v>
      </c>
      <c r="M58" s="544">
        <f t="shared" si="63"/>
        <v>0</v>
      </c>
      <c r="N58" s="544">
        <f t="shared" si="63"/>
        <v>0</v>
      </c>
      <c r="O58" s="544">
        <f t="shared" si="63"/>
        <v>0</v>
      </c>
      <c r="P58" s="544">
        <f t="shared" si="63"/>
        <v>0</v>
      </c>
      <c r="Q58" s="544">
        <f t="shared" si="63"/>
        <v>0</v>
      </c>
      <c r="R58" s="544">
        <f t="shared" si="63"/>
        <v>0</v>
      </c>
      <c r="S58" s="544">
        <f t="shared" si="63"/>
        <v>0</v>
      </c>
      <c r="T58" s="544">
        <f t="shared" si="63"/>
        <v>0</v>
      </c>
      <c r="U58" s="544">
        <f t="shared" si="63"/>
        <v>0</v>
      </c>
      <c r="V58" s="544">
        <f t="shared" si="63"/>
        <v>0</v>
      </c>
      <c r="W58" s="544">
        <f t="shared" si="63"/>
        <v>0</v>
      </c>
      <c r="X58" s="544">
        <f t="shared" si="63"/>
        <v>0</v>
      </c>
      <c r="Y58" s="544">
        <f t="shared" si="63"/>
        <v>0</v>
      </c>
      <c r="Z58" s="544">
        <f t="shared" si="63"/>
        <v>0</v>
      </c>
      <c r="AA58" s="544">
        <f t="shared" si="63"/>
        <v>0</v>
      </c>
      <c r="AB58" s="544">
        <f t="shared" si="63"/>
        <v>0</v>
      </c>
      <c r="AC58" s="550">
        <f t="shared" si="63"/>
        <v>0</v>
      </c>
    </row>
    <row r="59" spans="1:29" ht="12.75" customHeight="1">
      <c r="A59" s="66"/>
      <c r="B59" s="1432"/>
      <c r="C59" s="571" t="str">
        <f t="shared" si="57"/>
        <v>Hluk</v>
      </c>
      <c r="D59" s="418">
        <f t="shared" si="59"/>
        <v>0</v>
      </c>
      <c r="E59" s="57">
        <f t="shared" si="60"/>
        <v>0</v>
      </c>
      <c r="F59" s="62">
        <f t="shared" si="60"/>
        <v>0</v>
      </c>
      <c r="G59" s="62">
        <f aca="true" t="shared" si="64" ref="G59:AC59">G34-(G9)</f>
        <v>0</v>
      </c>
      <c r="H59" s="62">
        <f t="shared" si="64"/>
        <v>0</v>
      </c>
      <c r="I59" s="62">
        <f t="shared" si="64"/>
        <v>0</v>
      </c>
      <c r="J59" s="62">
        <f t="shared" si="64"/>
        <v>0</v>
      </c>
      <c r="K59" s="62">
        <f t="shared" si="64"/>
        <v>0</v>
      </c>
      <c r="L59" s="62">
        <f t="shared" si="64"/>
        <v>0</v>
      </c>
      <c r="M59" s="62">
        <f t="shared" si="64"/>
        <v>0</v>
      </c>
      <c r="N59" s="62">
        <f t="shared" si="64"/>
        <v>0</v>
      </c>
      <c r="O59" s="62">
        <f t="shared" si="64"/>
        <v>0</v>
      </c>
      <c r="P59" s="62">
        <f t="shared" si="64"/>
        <v>0</v>
      </c>
      <c r="Q59" s="62">
        <f t="shared" si="64"/>
        <v>0</v>
      </c>
      <c r="R59" s="62">
        <f t="shared" si="64"/>
        <v>0</v>
      </c>
      <c r="S59" s="62">
        <f t="shared" si="64"/>
        <v>0</v>
      </c>
      <c r="T59" s="62">
        <f t="shared" si="64"/>
        <v>0</v>
      </c>
      <c r="U59" s="62">
        <f t="shared" si="64"/>
        <v>0</v>
      </c>
      <c r="V59" s="62">
        <f t="shared" si="64"/>
        <v>0</v>
      </c>
      <c r="W59" s="62">
        <f t="shared" si="64"/>
        <v>0</v>
      </c>
      <c r="X59" s="62">
        <f t="shared" si="64"/>
        <v>0</v>
      </c>
      <c r="Y59" s="62">
        <f t="shared" si="64"/>
        <v>0</v>
      </c>
      <c r="Z59" s="62">
        <f t="shared" si="64"/>
        <v>0</v>
      </c>
      <c r="AA59" s="62">
        <f t="shared" si="64"/>
        <v>0</v>
      </c>
      <c r="AB59" s="62">
        <f t="shared" si="64"/>
        <v>0</v>
      </c>
      <c r="AC59" s="407">
        <f t="shared" si="64"/>
        <v>0</v>
      </c>
    </row>
    <row r="60" spans="1:29" ht="12.75" customHeight="1">
      <c r="A60" s="66"/>
      <c r="B60" s="1432"/>
      <c r="C60" s="571" t="str">
        <f t="shared" si="57"/>
        <v>Znečištění ovzduší</v>
      </c>
      <c r="D60" s="418">
        <f t="shared" si="59"/>
        <v>0</v>
      </c>
      <c r="E60" s="57">
        <f t="shared" si="60"/>
        <v>0</v>
      </c>
      <c r="F60" s="62">
        <f t="shared" si="60"/>
        <v>0</v>
      </c>
      <c r="G60" s="62">
        <f aca="true" t="shared" si="65" ref="G60:AC60">G35-(G10)</f>
        <v>0</v>
      </c>
      <c r="H60" s="62">
        <f t="shared" si="65"/>
        <v>0</v>
      </c>
      <c r="I60" s="62">
        <f t="shared" si="65"/>
        <v>0</v>
      </c>
      <c r="J60" s="62">
        <f t="shared" si="65"/>
        <v>0</v>
      </c>
      <c r="K60" s="62">
        <f t="shared" si="65"/>
        <v>0</v>
      </c>
      <c r="L60" s="62">
        <f t="shared" si="65"/>
        <v>0</v>
      </c>
      <c r="M60" s="62">
        <f t="shared" si="65"/>
        <v>0</v>
      </c>
      <c r="N60" s="62">
        <f t="shared" si="65"/>
        <v>0</v>
      </c>
      <c r="O60" s="62">
        <f t="shared" si="65"/>
        <v>0</v>
      </c>
      <c r="P60" s="62">
        <f t="shared" si="65"/>
        <v>0</v>
      </c>
      <c r="Q60" s="62">
        <f t="shared" si="65"/>
        <v>0</v>
      </c>
      <c r="R60" s="62">
        <f t="shared" si="65"/>
        <v>0</v>
      </c>
      <c r="S60" s="62">
        <f t="shared" si="65"/>
        <v>0</v>
      </c>
      <c r="T60" s="62">
        <f t="shared" si="65"/>
        <v>0</v>
      </c>
      <c r="U60" s="62">
        <f t="shared" si="65"/>
        <v>0</v>
      </c>
      <c r="V60" s="62">
        <f t="shared" si="65"/>
        <v>0</v>
      </c>
      <c r="W60" s="62">
        <f t="shared" si="65"/>
        <v>0</v>
      </c>
      <c r="X60" s="62">
        <f t="shared" si="65"/>
        <v>0</v>
      </c>
      <c r="Y60" s="62">
        <f t="shared" si="65"/>
        <v>0</v>
      </c>
      <c r="Z60" s="62">
        <f t="shared" si="65"/>
        <v>0</v>
      </c>
      <c r="AA60" s="62">
        <f t="shared" si="65"/>
        <v>0</v>
      </c>
      <c r="AB60" s="62">
        <f t="shared" si="65"/>
        <v>0</v>
      </c>
      <c r="AC60" s="407">
        <f t="shared" si="65"/>
        <v>0</v>
      </c>
    </row>
    <row r="61" spans="1:29" ht="12.75" customHeight="1">
      <c r="A61" s="66"/>
      <c r="B61" s="1433"/>
      <c r="C61" s="573" t="str">
        <f t="shared" si="57"/>
        <v>Klimatické změny</v>
      </c>
      <c r="D61" s="419">
        <f t="shared" si="59"/>
        <v>0</v>
      </c>
      <c r="E61" s="551">
        <f t="shared" si="60"/>
        <v>0</v>
      </c>
      <c r="F61" s="404">
        <f t="shared" si="60"/>
        <v>0</v>
      </c>
      <c r="G61" s="404">
        <f aca="true" t="shared" si="66" ref="G61:AC61">G36-(G11)</f>
        <v>0</v>
      </c>
      <c r="H61" s="404">
        <f t="shared" si="66"/>
        <v>0</v>
      </c>
      <c r="I61" s="404">
        <f t="shared" si="66"/>
        <v>0</v>
      </c>
      <c r="J61" s="404">
        <f t="shared" si="66"/>
        <v>0</v>
      </c>
      <c r="K61" s="404">
        <f t="shared" si="66"/>
        <v>0</v>
      </c>
      <c r="L61" s="404">
        <f t="shared" si="66"/>
        <v>0</v>
      </c>
      <c r="M61" s="404">
        <f t="shared" si="66"/>
        <v>0</v>
      </c>
      <c r="N61" s="404">
        <f t="shared" si="66"/>
        <v>0</v>
      </c>
      <c r="O61" s="404">
        <f t="shared" si="66"/>
        <v>0</v>
      </c>
      <c r="P61" s="404">
        <f t="shared" si="66"/>
        <v>0</v>
      </c>
      <c r="Q61" s="404">
        <f t="shared" si="66"/>
        <v>0</v>
      </c>
      <c r="R61" s="404">
        <f t="shared" si="66"/>
        <v>0</v>
      </c>
      <c r="S61" s="404">
        <f t="shared" si="66"/>
        <v>0</v>
      </c>
      <c r="T61" s="404">
        <f t="shared" si="66"/>
        <v>0</v>
      </c>
      <c r="U61" s="404">
        <f t="shared" si="66"/>
        <v>0</v>
      </c>
      <c r="V61" s="404">
        <f t="shared" si="66"/>
        <v>0</v>
      </c>
      <c r="W61" s="404">
        <f t="shared" si="66"/>
        <v>0</v>
      </c>
      <c r="X61" s="404">
        <f t="shared" si="66"/>
        <v>0</v>
      </c>
      <c r="Y61" s="404">
        <f t="shared" si="66"/>
        <v>0</v>
      </c>
      <c r="Z61" s="404">
        <f t="shared" si="66"/>
        <v>0</v>
      </c>
      <c r="AA61" s="404">
        <f t="shared" si="66"/>
        <v>0</v>
      </c>
      <c r="AB61" s="404">
        <f t="shared" si="66"/>
        <v>0</v>
      </c>
      <c r="AC61" s="408">
        <f t="shared" si="66"/>
        <v>0</v>
      </c>
    </row>
    <row r="62" spans="1:29" ht="12.75" customHeight="1" thickBot="1">
      <c r="A62" s="56"/>
      <c r="B62" s="574"/>
      <c r="C62" s="575" t="str">
        <f>C52</f>
        <v>Celkem externí efekty - úspory</v>
      </c>
      <c r="D62" s="427">
        <f t="shared" si="59"/>
        <v>0</v>
      </c>
      <c r="E62" s="428">
        <f aca="true" t="shared" si="67" ref="E62:AC62">E37-E12</f>
        <v>0</v>
      </c>
      <c r="F62" s="428">
        <f t="shared" si="67"/>
        <v>0</v>
      </c>
      <c r="G62" s="428">
        <f t="shared" si="67"/>
        <v>0</v>
      </c>
      <c r="H62" s="428">
        <f t="shared" si="67"/>
        <v>0</v>
      </c>
      <c r="I62" s="428">
        <f t="shared" si="67"/>
        <v>0</v>
      </c>
      <c r="J62" s="428">
        <f t="shared" si="67"/>
        <v>0</v>
      </c>
      <c r="K62" s="428">
        <f t="shared" si="67"/>
        <v>0</v>
      </c>
      <c r="L62" s="428">
        <f t="shared" si="67"/>
        <v>0</v>
      </c>
      <c r="M62" s="428">
        <f t="shared" si="67"/>
        <v>0</v>
      </c>
      <c r="N62" s="428">
        <f t="shared" si="67"/>
        <v>0</v>
      </c>
      <c r="O62" s="428">
        <f t="shared" si="67"/>
        <v>0</v>
      </c>
      <c r="P62" s="428">
        <f t="shared" si="67"/>
        <v>0</v>
      </c>
      <c r="Q62" s="428">
        <f t="shared" si="67"/>
        <v>0</v>
      </c>
      <c r="R62" s="428">
        <f t="shared" si="67"/>
        <v>0</v>
      </c>
      <c r="S62" s="428">
        <f t="shared" si="67"/>
        <v>0</v>
      </c>
      <c r="T62" s="428">
        <f t="shared" si="67"/>
        <v>0</v>
      </c>
      <c r="U62" s="428">
        <f t="shared" si="67"/>
        <v>0</v>
      </c>
      <c r="V62" s="428">
        <f t="shared" si="67"/>
        <v>0</v>
      </c>
      <c r="W62" s="428">
        <f t="shared" si="67"/>
        <v>0</v>
      </c>
      <c r="X62" s="428">
        <f t="shared" si="67"/>
        <v>0</v>
      </c>
      <c r="Y62" s="428">
        <f t="shared" si="67"/>
        <v>0</v>
      </c>
      <c r="Z62" s="428">
        <f t="shared" si="67"/>
        <v>0</v>
      </c>
      <c r="AA62" s="428">
        <f t="shared" si="67"/>
        <v>0</v>
      </c>
      <c r="AB62" s="428">
        <f t="shared" si="67"/>
        <v>0</v>
      </c>
      <c r="AC62" s="429">
        <f t="shared" si="67"/>
        <v>0</v>
      </c>
    </row>
    <row r="63" spans="1:29" ht="12.75" customHeight="1" thickBot="1">
      <c r="A63" s="56"/>
      <c r="B63" s="61"/>
      <c r="C63" s="56"/>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row>
    <row r="64" spans="1:29" ht="12.75" customHeight="1">
      <c r="A64" s="58"/>
      <c r="B64" s="410" t="str">
        <f>B52</f>
        <v>7.3.</v>
      </c>
      <c r="C64" s="409" t="str">
        <f>C52</f>
        <v>Celkem externí efekty - úspory</v>
      </c>
      <c r="D64" s="1013" t="str">
        <f>D52</f>
        <v>CZK</v>
      </c>
      <c r="E64" s="1363">
        <f>AC52+1</f>
        <v>2039</v>
      </c>
      <c r="F64" s="1363">
        <f aca="true" t="shared" si="68" ref="F64:S64">E64+1</f>
        <v>2040</v>
      </c>
      <c r="G64" s="1363">
        <f t="shared" si="68"/>
        <v>2041</v>
      </c>
      <c r="H64" s="1363">
        <f t="shared" si="68"/>
        <v>2042</v>
      </c>
      <c r="I64" s="1363">
        <f t="shared" si="68"/>
        <v>2043</v>
      </c>
      <c r="J64" s="1363">
        <f t="shared" si="68"/>
        <v>2044</v>
      </c>
      <c r="K64" s="1363">
        <f t="shared" si="68"/>
        <v>2045</v>
      </c>
      <c r="L64" s="1363">
        <f t="shared" si="68"/>
        <v>2046</v>
      </c>
      <c r="M64" s="1363">
        <f t="shared" si="68"/>
        <v>2047</v>
      </c>
      <c r="N64" s="1363">
        <f t="shared" si="68"/>
        <v>2048</v>
      </c>
      <c r="O64" s="1363">
        <f t="shared" si="68"/>
        <v>2049</v>
      </c>
      <c r="P64" s="1363">
        <f t="shared" si="68"/>
        <v>2050</v>
      </c>
      <c r="Q64" s="1363">
        <f t="shared" si="68"/>
        <v>2051</v>
      </c>
      <c r="R64" s="1363">
        <f t="shared" si="68"/>
        <v>2052</v>
      </c>
      <c r="S64" s="1363">
        <f t="shared" si="68"/>
        <v>2053</v>
      </c>
      <c r="T64" s="1363">
        <f aca="true" t="shared" si="69" ref="T64:AC64">S64+1</f>
        <v>2054</v>
      </c>
      <c r="U64" s="1363">
        <f t="shared" si="69"/>
        <v>2055</v>
      </c>
      <c r="V64" s="1363">
        <f t="shared" si="69"/>
        <v>2056</v>
      </c>
      <c r="W64" s="1363">
        <f t="shared" si="69"/>
        <v>2057</v>
      </c>
      <c r="X64" s="1363">
        <f t="shared" si="69"/>
        <v>2058</v>
      </c>
      <c r="Y64" s="1363">
        <f t="shared" si="69"/>
        <v>2059</v>
      </c>
      <c r="Z64" s="1363">
        <f t="shared" si="69"/>
        <v>2060</v>
      </c>
      <c r="AA64" s="1363">
        <f t="shared" si="69"/>
        <v>2061</v>
      </c>
      <c r="AB64" s="1363">
        <f t="shared" si="69"/>
        <v>2062</v>
      </c>
      <c r="AC64" s="1361">
        <f t="shared" si="69"/>
        <v>2063</v>
      </c>
    </row>
    <row r="65" spans="1:29" ht="12.75" customHeight="1" thickBot="1">
      <c r="A65" s="58"/>
      <c r="B65" s="411" t="s">
        <v>19</v>
      </c>
      <c r="C65" s="413"/>
      <c r="D65" s="424"/>
      <c r="E65" s="1364">
        <f>S53+1</f>
        <v>1</v>
      </c>
      <c r="F65" s="1364"/>
      <c r="G65" s="1364"/>
      <c r="H65" s="1364"/>
      <c r="I65" s="1364"/>
      <c r="J65" s="1364"/>
      <c r="K65" s="1364"/>
      <c r="L65" s="1364"/>
      <c r="M65" s="1364"/>
      <c r="N65" s="1364"/>
      <c r="O65" s="1364"/>
      <c r="P65" s="1364"/>
      <c r="Q65" s="1364"/>
      <c r="R65" s="1364"/>
      <c r="S65" s="1364"/>
      <c r="T65" s="1364"/>
      <c r="U65" s="1364"/>
      <c r="V65" s="1364"/>
      <c r="W65" s="1364"/>
      <c r="X65" s="1364"/>
      <c r="Y65" s="1364"/>
      <c r="Z65" s="1364"/>
      <c r="AA65" s="1364"/>
      <c r="AB65" s="1364"/>
      <c r="AC65" s="1362"/>
    </row>
    <row r="66" spans="1:29" ht="12.75" customHeight="1">
      <c r="A66" s="66"/>
      <c r="B66" s="1430" t="str">
        <f>B4</f>
        <v>Osobní doprava</v>
      </c>
      <c r="C66" s="576" t="str">
        <f aca="true" t="shared" si="70" ref="C66:C74">C54</f>
        <v>Nehody</v>
      </c>
      <c r="D66" s="577"/>
      <c r="E66" s="62">
        <f>E41-(E16)</f>
        <v>0</v>
      </c>
      <c r="F66" s="62">
        <f>F41-(F16)</f>
        <v>0</v>
      </c>
      <c r="G66" s="62">
        <f aca="true" t="shared" si="71" ref="G66:AC66">G41-(G16)</f>
        <v>0</v>
      </c>
      <c r="H66" s="62">
        <f t="shared" si="71"/>
        <v>0</v>
      </c>
      <c r="I66" s="62">
        <f t="shared" si="71"/>
        <v>0</v>
      </c>
      <c r="J66" s="62">
        <f t="shared" si="71"/>
        <v>0</v>
      </c>
      <c r="K66" s="62">
        <f t="shared" si="71"/>
        <v>0</v>
      </c>
      <c r="L66" s="62">
        <f t="shared" si="71"/>
        <v>0</v>
      </c>
      <c r="M66" s="62">
        <f t="shared" si="71"/>
        <v>0</v>
      </c>
      <c r="N66" s="62">
        <f t="shared" si="71"/>
        <v>0</v>
      </c>
      <c r="O66" s="62">
        <f t="shared" si="71"/>
        <v>0</v>
      </c>
      <c r="P66" s="62">
        <f t="shared" si="71"/>
        <v>0</v>
      </c>
      <c r="Q66" s="62">
        <f t="shared" si="71"/>
        <v>0</v>
      </c>
      <c r="R66" s="62">
        <f t="shared" si="71"/>
        <v>0</v>
      </c>
      <c r="S66" s="62">
        <f t="shared" si="71"/>
        <v>0</v>
      </c>
      <c r="T66" s="62">
        <f t="shared" si="71"/>
        <v>0</v>
      </c>
      <c r="U66" s="62">
        <f t="shared" si="71"/>
        <v>0</v>
      </c>
      <c r="V66" s="62">
        <f t="shared" si="71"/>
        <v>0</v>
      </c>
      <c r="W66" s="62">
        <f t="shared" si="71"/>
        <v>0</v>
      </c>
      <c r="X66" s="62">
        <f t="shared" si="71"/>
        <v>0</v>
      </c>
      <c r="Y66" s="62">
        <f t="shared" si="71"/>
        <v>0</v>
      </c>
      <c r="Z66" s="62">
        <f t="shared" si="71"/>
        <v>0</v>
      </c>
      <c r="AA66" s="62">
        <f t="shared" si="71"/>
        <v>0</v>
      </c>
      <c r="AB66" s="62">
        <f t="shared" si="71"/>
        <v>0</v>
      </c>
      <c r="AC66" s="407">
        <f t="shared" si="71"/>
        <v>0</v>
      </c>
    </row>
    <row r="67" spans="1:29" ht="12.75" customHeight="1">
      <c r="A67" s="66"/>
      <c r="B67" s="1430"/>
      <c r="C67" s="576" t="str">
        <f t="shared" si="70"/>
        <v>Hluk</v>
      </c>
      <c r="D67" s="577"/>
      <c r="E67" s="57">
        <f>E42-(E17)</f>
        <v>0</v>
      </c>
      <c r="F67" s="57">
        <f>F42-(F17)</f>
        <v>0</v>
      </c>
      <c r="G67" s="57">
        <f aca="true" t="shared" si="72" ref="G67:AC67">G42-(G17)</f>
        <v>0</v>
      </c>
      <c r="H67" s="57">
        <f t="shared" si="72"/>
        <v>0</v>
      </c>
      <c r="I67" s="57">
        <f t="shared" si="72"/>
        <v>0</v>
      </c>
      <c r="J67" s="57">
        <f t="shared" si="72"/>
        <v>0</v>
      </c>
      <c r="K67" s="57">
        <f t="shared" si="72"/>
        <v>0</v>
      </c>
      <c r="L67" s="57">
        <f t="shared" si="72"/>
        <v>0</v>
      </c>
      <c r="M67" s="57">
        <f t="shared" si="72"/>
        <v>0</v>
      </c>
      <c r="N67" s="57">
        <f t="shared" si="72"/>
        <v>0</v>
      </c>
      <c r="O67" s="57">
        <f t="shared" si="72"/>
        <v>0</v>
      </c>
      <c r="P67" s="57">
        <f t="shared" si="72"/>
        <v>0</v>
      </c>
      <c r="Q67" s="57">
        <f t="shared" si="72"/>
        <v>0</v>
      </c>
      <c r="R67" s="57">
        <f t="shared" si="72"/>
        <v>0</v>
      </c>
      <c r="S67" s="57">
        <f t="shared" si="72"/>
        <v>0</v>
      </c>
      <c r="T67" s="57">
        <f t="shared" si="72"/>
        <v>0</v>
      </c>
      <c r="U67" s="57">
        <f t="shared" si="72"/>
        <v>0</v>
      </c>
      <c r="V67" s="57">
        <f t="shared" si="72"/>
        <v>0</v>
      </c>
      <c r="W67" s="57">
        <f t="shared" si="72"/>
        <v>0</v>
      </c>
      <c r="X67" s="57">
        <f t="shared" si="72"/>
        <v>0</v>
      </c>
      <c r="Y67" s="57">
        <f t="shared" si="72"/>
        <v>0</v>
      </c>
      <c r="Z67" s="57">
        <f t="shared" si="72"/>
        <v>0</v>
      </c>
      <c r="AA67" s="57">
        <f t="shared" si="72"/>
        <v>0</v>
      </c>
      <c r="AB67" s="57">
        <f t="shared" si="72"/>
        <v>0</v>
      </c>
      <c r="AC67" s="549">
        <f t="shared" si="72"/>
        <v>0</v>
      </c>
    </row>
    <row r="68" spans="1:29" ht="12.75" customHeight="1">
      <c r="A68" s="66"/>
      <c r="B68" s="1430"/>
      <c r="C68" s="576" t="str">
        <f t="shared" si="70"/>
        <v>Znečištění ovzduší</v>
      </c>
      <c r="D68" s="577"/>
      <c r="E68" s="57">
        <f aca="true" t="shared" si="73" ref="E68:F73">E43-(E18)</f>
        <v>0</v>
      </c>
      <c r="F68" s="57">
        <f t="shared" si="73"/>
        <v>0</v>
      </c>
      <c r="G68" s="57">
        <f aca="true" t="shared" si="74" ref="G68:AC68">G43-(G18)</f>
        <v>0</v>
      </c>
      <c r="H68" s="57">
        <f t="shared" si="74"/>
        <v>0</v>
      </c>
      <c r="I68" s="57">
        <f t="shared" si="74"/>
        <v>0</v>
      </c>
      <c r="J68" s="57">
        <f t="shared" si="74"/>
        <v>0</v>
      </c>
      <c r="K68" s="57">
        <f t="shared" si="74"/>
        <v>0</v>
      </c>
      <c r="L68" s="57">
        <f t="shared" si="74"/>
        <v>0</v>
      </c>
      <c r="M68" s="57">
        <f t="shared" si="74"/>
        <v>0</v>
      </c>
      <c r="N68" s="57">
        <f t="shared" si="74"/>
        <v>0</v>
      </c>
      <c r="O68" s="57">
        <f t="shared" si="74"/>
        <v>0</v>
      </c>
      <c r="P68" s="57">
        <f t="shared" si="74"/>
        <v>0</v>
      </c>
      <c r="Q68" s="57">
        <f t="shared" si="74"/>
        <v>0</v>
      </c>
      <c r="R68" s="57">
        <f t="shared" si="74"/>
        <v>0</v>
      </c>
      <c r="S68" s="57">
        <f t="shared" si="74"/>
        <v>0</v>
      </c>
      <c r="T68" s="57">
        <f t="shared" si="74"/>
        <v>0</v>
      </c>
      <c r="U68" s="57">
        <f t="shared" si="74"/>
        <v>0</v>
      </c>
      <c r="V68" s="57">
        <f t="shared" si="74"/>
        <v>0</v>
      </c>
      <c r="W68" s="57">
        <f t="shared" si="74"/>
        <v>0</v>
      </c>
      <c r="X68" s="57">
        <f t="shared" si="74"/>
        <v>0</v>
      </c>
      <c r="Y68" s="57">
        <f t="shared" si="74"/>
        <v>0</v>
      </c>
      <c r="Z68" s="57">
        <f t="shared" si="74"/>
        <v>0</v>
      </c>
      <c r="AA68" s="57">
        <f t="shared" si="74"/>
        <v>0</v>
      </c>
      <c r="AB68" s="57">
        <f t="shared" si="74"/>
        <v>0</v>
      </c>
      <c r="AC68" s="549">
        <f t="shared" si="74"/>
        <v>0</v>
      </c>
    </row>
    <row r="69" spans="1:29" ht="12.75" customHeight="1">
      <c r="A69" s="66"/>
      <c r="B69" s="1430"/>
      <c r="C69" s="576" t="str">
        <f t="shared" si="70"/>
        <v>Klimatické změny</v>
      </c>
      <c r="D69" s="577"/>
      <c r="E69" s="57">
        <f t="shared" si="73"/>
        <v>0</v>
      </c>
      <c r="F69" s="57">
        <f t="shared" si="73"/>
        <v>0</v>
      </c>
      <c r="G69" s="57">
        <f aca="true" t="shared" si="75" ref="G69:AC69">G44-(G19)</f>
        <v>0</v>
      </c>
      <c r="H69" s="57">
        <f t="shared" si="75"/>
        <v>0</v>
      </c>
      <c r="I69" s="57">
        <f t="shared" si="75"/>
        <v>0</v>
      </c>
      <c r="J69" s="57">
        <f t="shared" si="75"/>
        <v>0</v>
      </c>
      <c r="K69" s="57">
        <f t="shared" si="75"/>
        <v>0</v>
      </c>
      <c r="L69" s="57">
        <f t="shared" si="75"/>
        <v>0</v>
      </c>
      <c r="M69" s="57">
        <f t="shared" si="75"/>
        <v>0</v>
      </c>
      <c r="N69" s="57">
        <f t="shared" si="75"/>
        <v>0</v>
      </c>
      <c r="O69" s="57">
        <f t="shared" si="75"/>
        <v>0</v>
      </c>
      <c r="P69" s="57">
        <f t="shared" si="75"/>
        <v>0</v>
      </c>
      <c r="Q69" s="57">
        <f t="shared" si="75"/>
        <v>0</v>
      </c>
      <c r="R69" s="57">
        <f t="shared" si="75"/>
        <v>0</v>
      </c>
      <c r="S69" s="57">
        <f t="shared" si="75"/>
        <v>0</v>
      </c>
      <c r="T69" s="57">
        <f t="shared" si="75"/>
        <v>0</v>
      </c>
      <c r="U69" s="57">
        <f t="shared" si="75"/>
        <v>0</v>
      </c>
      <c r="V69" s="57">
        <f t="shared" si="75"/>
        <v>0</v>
      </c>
      <c r="W69" s="57">
        <f t="shared" si="75"/>
        <v>0</v>
      </c>
      <c r="X69" s="57">
        <f t="shared" si="75"/>
        <v>0</v>
      </c>
      <c r="Y69" s="57">
        <f t="shared" si="75"/>
        <v>0</v>
      </c>
      <c r="Z69" s="57">
        <f t="shared" si="75"/>
        <v>0</v>
      </c>
      <c r="AA69" s="57">
        <f t="shared" si="75"/>
        <v>0</v>
      </c>
      <c r="AB69" s="57">
        <f t="shared" si="75"/>
        <v>0</v>
      </c>
      <c r="AC69" s="549">
        <f t="shared" si="75"/>
        <v>0</v>
      </c>
    </row>
    <row r="70" spans="1:29" ht="12.75" customHeight="1">
      <c r="A70" s="66"/>
      <c r="B70" s="1431" t="str">
        <f>B8</f>
        <v>Nákladní doprava</v>
      </c>
      <c r="C70" s="578" t="str">
        <f t="shared" si="70"/>
        <v>Nehody</v>
      </c>
      <c r="D70" s="579"/>
      <c r="E70" s="544">
        <f t="shared" si="73"/>
        <v>0</v>
      </c>
      <c r="F70" s="544">
        <f t="shared" si="73"/>
        <v>0</v>
      </c>
      <c r="G70" s="544">
        <f aca="true" t="shared" si="76" ref="G70:AC70">G45-(G20)</f>
        <v>0</v>
      </c>
      <c r="H70" s="544">
        <f t="shared" si="76"/>
        <v>0</v>
      </c>
      <c r="I70" s="544">
        <f t="shared" si="76"/>
        <v>0</v>
      </c>
      <c r="J70" s="544">
        <f t="shared" si="76"/>
        <v>0</v>
      </c>
      <c r="K70" s="544">
        <f t="shared" si="76"/>
        <v>0</v>
      </c>
      <c r="L70" s="544">
        <f t="shared" si="76"/>
        <v>0</v>
      </c>
      <c r="M70" s="544">
        <f t="shared" si="76"/>
        <v>0</v>
      </c>
      <c r="N70" s="544">
        <f t="shared" si="76"/>
        <v>0</v>
      </c>
      <c r="O70" s="544">
        <f t="shared" si="76"/>
        <v>0</v>
      </c>
      <c r="P70" s="544">
        <f t="shared" si="76"/>
        <v>0</v>
      </c>
      <c r="Q70" s="544">
        <f t="shared" si="76"/>
        <v>0</v>
      </c>
      <c r="R70" s="544">
        <f t="shared" si="76"/>
        <v>0</v>
      </c>
      <c r="S70" s="544">
        <f t="shared" si="76"/>
        <v>0</v>
      </c>
      <c r="T70" s="544">
        <f t="shared" si="76"/>
        <v>0</v>
      </c>
      <c r="U70" s="544">
        <f t="shared" si="76"/>
        <v>0</v>
      </c>
      <c r="V70" s="544">
        <f t="shared" si="76"/>
        <v>0</v>
      </c>
      <c r="W70" s="544">
        <f t="shared" si="76"/>
        <v>0</v>
      </c>
      <c r="X70" s="544">
        <f t="shared" si="76"/>
        <v>0</v>
      </c>
      <c r="Y70" s="544">
        <f t="shared" si="76"/>
        <v>0</v>
      </c>
      <c r="Z70" s="544">
        <f t="shared" si="76"/>
        <v>0</v>
      </c>
      <c r="AA70" s="544">
        <f t="shared" si="76"/>
        <v>0</v>
      </c>
      <c r="AB70" s="544">
        <f t="shared" si="76"/>
        <v>0</v>
      </c>
      <c r="AC70" s="550">
        <f t="shared" si="76"/>
        <v>0</v>
      </c>
    </row>
    <row r="71" spans="1:29" ht="12.75" customHeight="1">
      <c r="A71" s="66"/>
      <c r="B71" s="1432"/>
      <c r="C71" s="576" t="str">
        <f t="shared" si="70"/>
        <v>Hluk</v>
      </c>
      <c r="D71" s="580"/>
      <c r="E71" s="57">
        <f t="shared" si="73"/>
        <v>0</v>
      </c>
      <c r="F71" s="62">
        <f t="shared" si="73"/>
        <v>0</v>
      </c>
      <c r="G71" s="62">
        <f aca="true" t="shared" si="77" ref="G71:AC71">G46-(G21)</f>
        <v>0</v>
      </c>
      <c r="H71" s="62">
        <f t="shared" si="77"/>
        <v>0</v>
      </c>
      <c r="I71" s="62">
        <f t="shared" si="77"/>
        <v>0</v>
      </c>
      <c r="J71" s="62">
        <f t="shared" si="77"/>
        <v>0</v>
      </c>
      <c r="K71" s="62">
        <f t="shared" si="77"/>
        <v>0</v>
      </c>
      <c r="L71" s="62">
        <f t="shared" si="77"/>
        <v>0</v>
      </c>
      <c r="M71" s="62">
        <f t="shared" si="77"/>
        <v>0</v>
      </c>
      <c r="N71" s="62">
        <f t="shared" si="77"/>
        <v>0</v>
      </c>
      <c r="O71" s="62">
        <f t="shared" si="77"/>
        <v>0</v>
      </c>
      <c r="P71" s="62">
        <f t="shared" si="77"/>
        <v>0</v>
      </c>
      <c r="Q71" s="62">
        <f t="shared" si="77"/>
        <v>0</v>
      </c>
      <c r="R71" s="62">
        <f t="shared" si="77"/>
        <v>0</v>
      </c>
      <c r="S71" s="62">
        <f t="shared" si="77"/>
        <v>0</v>
      </c>
      <c r="T71" s="62">
        <f t="shared" si="77"/>
        <v>0</v>
      </c>
      <c r="U71" s="62">
        <f t="shared" si="77"/>
        <v>0</v>
      </c>
      <c r="V71" s="62">
        <f t="shared" si="77"/>
        <v>0</v>
      </c>
      <c r="W71" s="62">
        <f t="shared" si="77"/>
        <v>0</v>
      </c>
      <c r="X71" s="62">
        <f t="shared" si="77"/>
        <v>0</v>
      </c>
      <c r="Y71" s="62">
        <f t="shared" si="77"/>
        <v>0</v>
      </c>
      <c r="Z71" s="62">
        <f t="shared" si="77"/>
        <v>0</v>
      </c>
      <c r="AA71" s="62">
        <f t="shared" si="77"/>
        <v>0</v>
      </c>
      <c r="AB71" s="62">
        <f t="shared" si="77"/>
        <v>0</v>
      </c>
      <c r="AC71" s="407">
        <f t="shared" si="77"/>
        <v>0</v>
      </c>
    </row>
    <row r="72" spans="1:29" ht="12.75" customHeight="1">
      <c r="A72" s="66"/>
      <c r="B72" s="1432"/>
      <c r="C72" s="576" t="str">
        <f t="shared" si="70"/>
        <v>Znečištění ovzduší</v>
      </c>
      <c r="D72" s="580"/>
      <c r="E72" s="57">
        <f t="shared" si="73"/>
        <v>0</v>
      </c>
      <c r="F72" s="62">
        <f t="shared" si="73"/>
        <v>0</v>
      </c>
      <c r="G72" s="62">
        <f aca="true" t="shared" si="78" ref="G72:AC72">G47-(G22)</f>
        <v>0</v>
      </c>
      <c r="H72" s="62">
        <f t="shared" si="78"/>
        <v>0</v>
      </c>
      <c r="I72" s="62">
        <f t="shared" si="78"/>
        <v>0</v>
      </c>
      <c r="J72" s="62">
        <f t="shared" si="78"/>
        <v>0</v>
      </c>
      <c r="K72" s="62">
        <f t="shared" si="78"/>
        <v>0</v>
      </c>
      <c r="L72" s="62">
        <f t="shared" si="78"/>
        <v>0</v>
      </c>
      <c r="M72" s="62">
        <f t="shared" si="78"/>
        <v>0</v>
      </c>
      <c r="N72" s="62">
        <f t="shared" si="78"/>
        <v>0</v>
      </c>
      <c r="O72" s="62">
        <f t="shared" si="78"/>
        <v>0</v>
      </c>
      <c r="P72" s="62">
        <f t="shared" si="78"/>
        <v>0</v>
      </c>
      <c r="Q72" s="62">
        <f t="shared" si="78"/>
        <v>0</v>
      </c>
      <c r="R72" s="62">
        <f t="shared" si="78"/>
        <v>0</v>
      </c>
      <c r="S72" s="62">
        <f t="shared" si="78"/>
        <v>0</v>
      </c>
      <c r="T72" s="62">
        <f t="shared" si="78"/>
        <v>0</v>
      </c>
      <c r="U72" s="62">
        <f t="shared" si="78"/>
        <v>0</v>
      </c>
      <c r="V72" s="62">
        <f t="shared" si="78"/>
        <v>0</v>
      </c>
      <c r="W72" s="62">
        <f t="shared" si="78"/>
        <v>0</v>
      </c>
      <c r="X72" s="62">
        <f t="shared" si="78"/>
        <v>0</v>
      </c>
      <c r="Y72" s="62">
        <f t="shared" si="78"/>
        <v>0</v>
      </c>
      <c r="Z72" s="62">
        <f t="shared" si="78"/>
        <v>0</v>
      </c>
      <c r="AA72" s="62">
        <f t="shared" si="78"/>
        <v>0</v>
      </c>
      <c r="AB72" s="62">
        <f t="shared" si="78"/>
        <v>0</v>
      </c>
      <c r="AC72" s="407">
        <f t="shared" si="78"/>
        <v>0</v>
      </c>
    </row>
    <row r="73" spans="1:29" ht="12.75" customHeight="1">
      <c r="A73" s="66"/>
      <c r="B73" s="1433"/>
      <c r="C73" s="581" t="str">
        <f t="shared" si="70"/>
        <v>Klimatické změny</v>
      </c>
      <c r="D73" s="582"/>
      <c r="E73" s="551">
        <f t="shared" si="73"/>
        <v>0</v>
      </c>
      <c r="F73" s="404">
        <f t="shared" si="73"/>
        <v>0</v>
      </c>
      <c r="G73" s="404">
        <f aca="true" t="shared" si="79" ref="G73:AC73">G48-(G23)</f>
        <v>0</v>
      </c>
      <c r="H73" s="404">
        <f t="shared" si="79"/>
        <v>0</v>
      </c>
      <c r="I73" s="404">
        <f t="shared" si="79"/>
        <v>0</v>
      </c>
      <c r="J73" s="404">
        <f t="shared" si="79"/>
        <v>0</v>
      </c>
      <c r="K73" s="404">
        <f t="shared" si="79"/>
        <v>0</v>
      </c>
      <c r="L73" s="404">
        <f t="shared" si="79"/>
        <v>0</v>
      </c>
      <c r="M73" s="404">
        <f t="shared" si="79"/>
        <v>0</v>
      </c>
      <c r="N73" s="404">
        <f t="shared" si="79"/>
        <v>0</v>
      </c>
      <c r="O73" s="404">
        <f t="shared" si="79"/>
        <v>0</v>
      </c>
      <c r="P73" s="404">
        <f t="shared" si="79"/>
        <v>0</v>
      </c>
      <c r="Q73" s="404">
        <f t="shared" si="79"/>
        <v>0</v>
      </c>
      <c r="R73" s="404">
        <f t="shared" si="79"/>
        <v>0</v>
      </c>
      <c r="S73" s="404">
        <f t="shared" si="79"/>
        <v>0</v>
      </c>
      <c r="T73" s="404">
        <f t="shared" si="79"/>
        <v>0</v>
      </c>
      <c r="U73" s="404">
        <f t="shared" si="79"/>
        <v>0</v>
      </c>
      <c r="V73" s="404">
        <f t="shared" si="79"/>
        <v>0</v>
      </c>
      <c r="W73" s="404">
        <f t="shared" si="79"/>
        <v>0</v>
      </c>
      <c r="X73" s="404">
        <f t="shared" si="79"/>
        <v>0</v>
      </c>
      <c r="Y73" s="404">
        <f t="shared" si="79"/>
        <v>0</v>
      </c>
      <c r="Z73" s="404">
        <f t="shared" si="79"/>
        <v>0</v>
      </c>
      <c r="AA73" s="404">
        <f t="shared" si="79"/>
        <v>0</v>
      </c>
      <c r="AB73" s="404">
        <f t="shared" si="79"/>
        <v>0</v>
      </c>
      <c r="AC73" s="408">
        <f t="shared" si="79"/>
        <v>0</v>
      </c>
    </row>
    <row r="74" spans="1:29" ht="12.75" customHeight="1" thickBot="1">
      <c r="A74" s="56"/>
      <c r="B74" s="574"/>
      <c r="C74" s="583" t="str">
        <f t="shared" si="70"/>
        <v>Celkem externí efekty - úspory</v>
      </c>
      <c r="D74" s="584"/>
      <c r="E74" s="428">
        <f>E49-E24</f>
        <v>0</v>
      </c>
      <c r="F74" s="428">
        <f aca="true" t="shared" si="80" ref="F74:S74">F49-F24</f>
        <v>0</v>
      </c>
      <c r="G74" s="428">
        <f t="shared" si="80"/>
        <v>0</v>
      </c>
      <c r="H74" s="428">
        <f t="shared" si="80"/>
        <v>0</v>
      </c>
      <c r="I74" s="428">
        <f t="shared" si="80"/>
        <v>0</v>
      </c>
      <c r="J74" s="428">
        <f t="shared" si="80"/>
        <v>0</v>
      </c>
      <c r="K74" s="428">
        <f t="shared" si="80"/>
        <v>0</v>
      </c>
      <c r="L74" s="428">
        <f t="shared" si="80"/>
        <v>0</v>
      </c>
      <c r="M74" s="428">
        <f t="shared" si="80"/>
        <v>0</v>
      </c>
      <c r="N74" s="428">
        <f t="shared" si="80"/>
        <v>0</v>
      </c>
      <c r="O74" s="428">
        <f t="shared" si="80"/>
        <v>0</v>
      </c>
      <c r="P74" s="428">
        <f t="shared" si="80"/>
        <v>0</v>
      </c>
      <c r="Q74" s="428">
        <f t="shared" si="80"/>
        <v>0</v>
      </c>
      <c r="R74" s="428">
        <f t="shared" si="80"/>
        <v>0</v>
      </c>
      <c r="S74" s="428">
        <f t="shared" si="80"/>
        <v>0</v>
      </c>
      <c r="T74" s="428">
        <f aca="true" t="shared" si="81" ref="T74:AC74">T49-T24</f>
        <v>0</v>
      </c>
      <c r="U74" s="428">
        <f t="shared" si="81"/>
        <v>0</v>
      </c>
      <c r="V74" s="428">
        <f t="shared" si="81"/>
        <v>0</v>
      </c>
      <c r="W74" s="428">
        <f t="shared" si="81"/>
        <v>0</v>
      </c>
      <c r="X74" s="428">
        <f t="shared" si="81"/>
        <v>0</v>
      </c>
      <c r="Y74" s="428">
        <f t="shared" si="81"/>
        <v>0</v>
      </c>
      <c r="Z74" s="428">
        <f t="shared" si="81"/>
        <v>0</v>
      </c>
      <c r="AA74" s="428">
        <f t="shared" si="81"/>
        <v>0</v>
      </c>
      <c r="AB74" s="428">
        <f t="shared" si="81"/>
        <v>0</v>
      </c>
      <c r="AC74" s="429">
        <f t="shared" si="81"/>
        <v>0</v>
      </c>
    </row>
    <row r="75" spans="1:18" ht="12.75" customHeight="1">
      <c r="A75" s="96"/>
      <c r="B75" s="96"/>
      <c r="C75" s="96"/>
      <c r="D75" s="96"/>
      <c r="E75" s="96"/>
      <c r="F75" s="96"/>
      <c r="G75" s="96"/>
      <c r="H75" s="96"/>
      <c r="I75" s="96"/>
      <c r="J75" s="96"/>
      <c r="K75" s="96"/>
      <c r="L75" s="96"/>
      <c r="M75" s="96"/>
      <c r="N75" s="96"/>
      <c r="O75" s="96"/>
      <c r="P75" s="96"/>
      <c r="Q75" s="96"/>
      <c r="R75" s="96"/>
    </row>
    <row r="76" spans="3:10" ht="12.75" thickBot="1">
      <c r="C76" s="98"/>
      <c r="D76" s="98"/>
      <c r="E76" s="98"/>
      <c r="F76" s="98"/>
      <c r="G76" s="98"/>
      <c r="H76" s="99"/>
      <c r="I76" s="99"/>
      <c r="J76" s="99"/>
    </row>
    <row r="77" spans="2:10" ht="12.75" thickBot="1">
      <c r="B77" s="557" t="s">
        <v>286</v>
      </c>
      <c r="C77" s="1435" t="str">
        <f>IF('0 Úvod'!$M$3="English",Slovnik!D218,Slovnik!C218)</f>
        <v>Osobní doprava [EUR/1000 oskm] - výchozí hodnoty IMPACT</v>
      </c>
      <c r="D77" s="1436"/>
      <c r="E77" s="1436"/>
      <c r="F77" s="1436"/>
      <c r="G77" s="1437"/>
      <c r="H77" s="99"/>
      <c r="I77" s="99"/>
      <c r="J77" s="99"/>
    </row>
    <row r="78" spans="2:10" ht="12">
      <c r="B78" s="558"/>
      <c r="C78" s="560"/>
      <c r="D78" s="562" t="str">
        <f>IF('0 Úvod'!$M$3="English",Slovnik!D223,Slovnik!C223)</f>
        <v>Automobil</v>
      </c>
      <c r="E78" s="563" t="str">
        <f>IF('0 Úvod'!$M$3="English",Slovnik!D224,Slovnik!C224)</f>
        <v>Motocykl</v>
      </c>
      <c r="F78" s="563" t="str">
        <f>IF('0 Úvod'!$M$3="English",Slovnik!D225,Slovnik!C225)</f>
        <v>Autobus</v>
      </c>
      <c r="G78" s="564" t="str">
        <f>IF('0 Úvod'!$M$3="English",Slovnik!D226,Slovnik!C226)</f>
        <v>Železnice</v>
      </c>
      <c r="H78" s="99"/>
      <c r="I78" s="99"/>
      <c r="J78" s="99"/>
    </row>
    <row r="79" spans="2:10" ht="12">
      <c r="B79" s="558"/>
      <c r="C79" s="561" t="str">
        <f>C66</f>
        <v>Nehody</v>
      </c>
      <c r="D79" s="532">
        <v>36</v>
      </c>
      <c r="E79" s="547">
        <v>250</v>
      </c>
      <c r="F79" s="547">
        <v>3.1</v>
      </c>
      <c r="G79" s="533">
        <v>0.9</v>
      </c>
      <c r="H79" s="99"/>
      <c r="I79" s="99"/>
      <c r="J79" s="99"/>
    </row>
    <row r="80" spans="2:10" ht="12">
      <c r="B80" s="558"/>
      <c r="C80" s="560" t="str">
        <f>C67</f>
        <v>Hluk</v>
      </c>
      <c r="D80" s="556">
        <v>5.7</v>
      </c>
      <c r="E80" s="548">
        <v>17</v>
      </c>
      <c r="F80" s="548">
        <v>1.3</v>
      </c>
      <c r="G80" s="531">
        <v>3.9</v>
      </c>
      <c r="H80" s="99"/>
      <c r="I80" s="99"/>
      <c r="J80" s="99"/>
    </row>
    <row r="81" spans="2:10" ht="12">
      <c r="B81" s="558"/>
      <c r="C81" s="561" t="str">
        <f>C68</f>
        <v>Znečištění ovzduší</v>
      </c>
      <c r="D81" s="532">
        <v>17.3</v>
      </c>
      <c r="E81" s="547">
        <v>7.9</v>
      </c>
      <c r="F81" s="547">
        <v>19.6</v>
      </c>
      <c r="G81" s="533">
        <v>4.9</v>
      </c>
      <c r="H81" s="99"/>
      <c r="I81" s="99"/>
      <c r="J81" s="99"/>
    </row>
    <row r="82" spans="2:10" ht="12.75" thickBot="1">
      <c r="B82" s="558"/>
      <c r="C82" s="560" t="str">
        <f>C69</f>
        <v>Klimatické změny</v>
      </c>
      <c r="D82" s="556">
        <v>15.9</v>
      </c>
      <c r="E82" s="548">
        <v>13.8</v>
      </c>
      <c r="F82" s="548">
        <v>8.9</v>
      </c>
      <c r="G82" s="531">
        <v>5.3</v>
      </c>
      <c r="H82" s="99"/>
      <c r="I82" s="99"/>
      <c r="J82" s="99"/>
    </row>
    <row r="83" spans="2:10" ht="12.75" thickBot="1">
      <c r="B83" s="558"/>
      <c r="C83" s="1435" t="str">
        <f>IF('0 Úvod'!$M$3="English",Slovnik!D219,Slovnik!C219)</f>
        <v>Nákladní doprava [EUR/1000 tkm] - výchozí hodnoty IMPACT</v>
      </c>
      <c r="D83" s="1436"/>
      <c r="E83" s="1436"/>
      <c r="F83" s="1436"/>
      <c r="G83" s="1437"/>
      <c r="H83" s="99"/>
      <c r="I83" s="99"/>
      <c r="J83" s="99"/>
    </row>
    <row r="84" spans="2:10" ht="12">
      <c r="B84" s="558"/>
      <c r="C84" s="560"/>
      <c r="D84" s="562" t="str">
        <f>IF('0 Úvod'!$M$3="English",Slovnik!D227,Slovnik!C227)</f>
        <v>LUV</v>
      </c>
      <c r="E84" s="562" t="str">
        <f>IF('0 Úvod'!$M$3="English",Slovnik!D228,Slovnik!C228)</f>
        <v>TUV</v>
      </c>
      <c r="F84" s="562" t="str">
        <f>IF('0 Úvod'!$M$3="English",Slovnik!D229,Slovnik!C229)</f>
        <v>Železnice</v>
      </c>
      <c r="G84" s="564"/>
      <c r="H84" s="99"/>
      <c r="I84" s="99"/>
      <c r="J84" s="99"/>
    </row>
    <row r="85" spans="2:10" ht="12">
      <c r="B85" s="558"/>
      <c r="C85" s="565" t="str">
        <f>C79</f>
        <v>Nehody</v>
      </c>
      <c r="D85" s="546">
        <v>100</v>
      </c>
      <c r="E85" s="546">
        <v>6.8</v>
      </c>
      <c r="F85" s="546">
        <v>11.5</v>
      </c>
      <c r="G85" s="553"/>
      <c r="H85" s="99"/>
      <c r="I85" s="99"/>
      <c r="J85" s="99" t="s">
        <v>1</v>
      </c>
    </row>
    <row r="86" spans="2:13" ht="12">
      <c r="B86" s="558"/>
      <c r="C86" s="561" t="str">
        <f>C80</f>
        <v>Hluk</v>
      </c>
      <c r="D86" s="532">
        <v>35.7</v>
      </c>
      <c r="E86" s="532">
        <v>5.1</v>
      </c>
      <c r="F86" s="532">
        <v>3.5</v>
      </c>
      <c r="G86" s="533"/>
      <c r="H86" s="99"/>
      <c r="I86" s="99"/>
      <c r="J86" s="99"/>
      <c r="K86" s="99"/>
      <c r="L86" s="99"/>
      <c r="M86" s="99"/>
    </row>
    <row r="87" spans="2:13" ht="12">
      <c r="B87" s="558"/>
      <c r="C87" s="566" t="str">
        <f>C81</f>
        <v>Znečištění ovzduší</v>
      </c>
      <c r="D87" s="545">
        <v>131</v>
      </c>
      <c r="E87" s="545">
        <v>32.4</v>
      </c>
      <c r="F87" s="545">
        <v>4</v>
      </c>
      <c r="G87" s="539"/>
      <c r="H87" s="99"/>
      <c r="I87" s="99"/>
      <c r="J87" s="99"/>
      <c r="K87" s="99"/>
      <c r="L87" s="99"/>
      <c r="M87" s="99"/>
    </row>
    <row r="88" spans="2:13" ht="12.75" thickBot="1">
      <c r="B88" s="559"/>
      <c r="C88" s="567" t="str">
        <f>C82</f>
        <v>Klimatické změny</v>
      </c>
      <c r="D88" s="554">
        <v>134</v>
      </c>
      <c r="E88" s="554">
        <v>15.1</v>
      </c>
      <c r="F88" s="554">
        <v>4.7</v>
      </c>
      <c r="G88" s="555"/>
      <c r="H88" s="99"/>
      <c r="I88" s="99"/>
      <c r="J88" s="99"/>
      <c r="K88" s="99"/>
      <c r="L88" s="99"/>
      <c r="M88" s="99"/>
    </row>
    <row r="89" spans="3:13" ht="12.75" thickBot="1">
      <c r="C89" s="100"/>
      <c r="D89" s="100"/>
      <c r="E89" s="100"/>
      <c r="F89" s="100"/>
      <c r="G89" s="100"/>
      <c r="H89" s="99"/>
      <c r="I89" s="99"/>
      <c r="J89" s="99"/>
      <c r="K89" s="99"/>
      <c r="L89" s="99"/>
      <c r="M89" s="99"/>
    </row>
    <row r="90" spans="2:13" ht="13.5" customHeight="1" thickBot="1">
      <c r="B90" s="557" t="s">
        <v>287</v>
      </c>
      <c r="C90" s="1439" t="str">
        <f>IF('0 Úvod'!$M$3="English",Slovnik!D220,Slovnik!C220)</f>
        <v>Cenová úroveň 2012</v>
      </c>
      <c r="D90" s="1440"/>
      <c r="E90" s="1440"/>
      <c r="F90" s="1440"/>
      <c r="G90" s="1441"/>
      <c r="I90" s="569"/>
      <c r="J90" s="1434"/>
      <c r="K90" s="1434"/>
      <c r="L90" s="1434"/>
      <c r="M90" s="1434"/>
    </row>
    <row r="91" spans="2:13" ht="12" customHeight="1" thickBot="1">
      <c r="B91" s="558"/>
      <c r="C91" s="1435" t="str">
        <f>IF('0 Úvod'!$M$3="English",Slovnik!D221,Slovnik!C221)</f>
        <v>Osobní doprava [CZK/1000 oskm]</v>
      </c>
      <c r="D91" s="1436"/>
      <c r="E91" s="1436"/>
      <c r="F91" s="1436"/>
      <c r="G91" s="1437"/>
      <c r="I91" s="1438"/>
      <c r="J91" s="1438"/>
      <c r="K91" s="1438"/>
      <c r="L91" s="1438"/>
      <c r="M91" s="1438"/>
    </row>
    <row r="92" spans="2:13" ht="12.75">
      <c r="B92" s="558"/>
      <c r="C92" s="568"/>
      <c r="D92" s="562" t="str">
        <f>D78</f>
        <v>Automobil</v>
      </c>
      <c r="E92" s="563" t="str">
        <f>E78</f>
        <v>Motocykl</v>
      </c>
      <c r="F92" s="563" t="str">
        <f>F78</f>
        <v>Autobus</v>
      </c>
      <c r="G92" s="564" t="str">
        <f>G78</f>
        <v>Železnice</v>
      </c>
      <c r="I92" s="776"/>
      <c r="J92" s="100"/>
      <c r="K92" s="100"/>
      <c r="L92" s="100"/>
      <c r="M92" s="100"/>
    </row>
    <row r="93" spans="2:13" ht="12.75">
      <c r="B93" s="558"/>
      <c r="C93" s="565" t="str">
        <f>C79</f>
        <v>Nehody</v>
      </c>
      <c r="D93" s="784">
        <v>1697</v>
      </c>
      <c r="E93" s="785">
        <v>11787</v>
      </c>
      <c r="F93" s="785">
        <v>146</v>
      </c>
      <c r="G93" s="786">
        <v>42</v>
      </c>
      <c r="I93" s="777"/>
      <c r="J93" s="570"/>
      <c r="K93" s="570"/>
      <c r="L93" s="570"/>
      <c r="M93" s="570"/>
    </row>
    <row r="94" spans="2:13" ht="12.75">
      <c r="B94" s="558"/>
      <c r="C94" s="561" t="str">
        <f>C80</f>
        <v>Hluk</v>
      </c>
      <c r="D94" s="781">
        <v>269</v>
      </c>
      <c r="E94" s="787">
        <v>801</v>
      </c>
      <c r="F94" s="787">
        <v>61</v>
      </c>
      <c r="G94" s="788">
        <v>184</v>
      </c>
      <c r="I94" s="777"/>
      <c r="J94" s="570"/>
      <c r="K94" s="570"/>
      <c r="L94" s="570"/>
      <c r="M94" s="570"/>
    </row>
    <row r="95" spans="2:13" ht="12">
      <c r="B95" s="558"/>
      <c r="C95" s="566" t="str">
        <f>C81</f>
        <v>Znečištění ovzduší</v>
      </c>
      <c r="D95" s="789">
        <v>816</v>
      </c>
      <c r="E95" s="790">
        <v>372</v>
      </c>
      <c r="F95" s="790">
        <v>924</v>
      </c>
      <c r="G95" s="791">
        <v>231</v>
      </c>
      <c r="I95" s="100"/>
      <c r="J95" s="570"/>
      <c r="K95" s="570"/>
      <c r="L95" s="570"/>
      <c r="M95" s="570"/>
    </row>
    <row r="96" spans="2:13" ht="12.75" thickBot="1">
      <c r="B96" s="558"/>
      <c r="C96" s="567" t="str">
        <f>C82</f>
        <v>Klimatické změny</v>
      </c>
      <c r="D96" s="782">
        <v>750</v>
      </c>
      <c r="E96" s="792">
        <v>654</v>
      </c>
      <c r="F96" s="792">
        <v>420</v>
      </c>
      <c r="G96" s="793">
        <v>250</v>
      </c>
      <c r="I96" s="100"/>
      <c r="J96" s="570"/>
      <c r="K96" s="570"/>
      <c r="L96" s="570"/>
      <c r="M96" s="570"/>
    </row>
    <row r="97" spans="2:13" ht="12.75" thickBot="1">
      <c r="B97" s="558"/>
      <c r="C97" s="1435" t="str">
        <f>IF('0 Úvod'!$M$3="English",Slovnik!D222,Slovnik!C222)</f>
        <v>Nákladní doprava [CZK/1000 tkm]</v>
      </c>
      <c r="D97" s="1436"/>
      <c r="E97" s="1436"/>
      <c r="F97" s="1436"/>
      <c r="G97" s="1437"/>
      <c r="I97" s="1438"/>
      <c r="J97" s="1438"/>
      <c r="K97" s="1438"/>
      <c r="L97" s="1438"/>
      <c r="M97" s="1438"/>
    </row>
    <row r="98" spans="2:13" ht="12">
      <c r="B98" s="558"/>
      <c r="C98" s="568"/>
      <c r="D98" s="562" t="str">
        <f>D84</f>
        <v>LUV</v>
      </c>
      <c r="E98" s="562" t="str">
        <f>E84</f>
        <v>TUV</v>
      </c>
      <c r="F98" s="562" t="str">
        <f>F84</f>
        <v>Železnice</v>
      </c>
      <c r="G98" s="564" t="str">
        <f>IF('0 Úvod'!$M$3="English",Slovnik!D230,Slovnik!C230)</f>
        <v>Voda</v>
      </c>
      <c r="H98" s="794" t="str">
        <f>IF('0 Úvod'!$M$3="English",Slovnik!D231,Slovnik!C231)</f>
        <v>Silnice</v>
      </c>
      <c r="I98" s="798" t="str">
        <f>D98</f>
        <v>LUV</v>
      </c>
      <c r="J98" s="796">
        <v>0.4051</v>
      </c>
      <c r="L98" s="100"/>
      <c r="M98" s="100"/>
    </row>
    <row r="99" spans="2:13" ht="12.75" thickBot="1">
      <c r="B99" s="558"/>
      <c r="C99" s="561" t="str">
        <f>C85</f>
        <v>Nehody</v>
      </c>
      <c r="D99" s="781">
        <v>4715</v>
      </c>
      <c r="E99" s="781">
        <v>321</v>
      </c>
      <c r="F99" s="781">
        <v>542</v>
      </c>
      <c r="G99" s="533">
        <v>0</v>
      </c>
      <c r="H99" s="795">
        <f>$J$98*D99+$E$99*J99</f>
        <v>2101.0094</v>
      </c>
      <c r="I99" s="799" t="str">
        <f>E98</f>
        <v>TUV</v>
      </c>
      <c r="J99" s="797">
        <f>1-J98</f>
        <v>0.5949</v>
      </c>
      <c r="L99" s="570"/>
      <c r="M99" s="100"/>
    </row>
    <row r="100" spans="2:13" ht="12">
      <c r="B100" s="558"/>
      <c r="C100" s="560" t="str">
        <f>C86</f>
        <v>Hluk</v>
      </c>
      <c r="D100" s="782">
        <v>1683</v>
      </c>
      <c r="E100" s="782">
        <v>240</v>
      </c>
      <c r="F100" s="782">
        <v>165</v>
      </c>
      <c r="G100" s="531">
        <v>0</v>
      </c>
      <c r="H100" s="779">
        <f>$J$98*D100+$E$99*J100</f>
        <v>681.7833</v>
      </c>
      <c r="I100" s="100"/>
      <c r="J100" s="570"/>
      <c r="L100" s="570"/>
      <c r="M100" s="100"/>
    </row>
    <row r="101" spans="2:13" ht="12">
      <c r="B101" s="558"/>
      <c r="C101" s="561" t="str">
        <f>C87</f>
        <v>Znečištění ovzduší</v>
      </c>
      <c r="D101" s="781">
        <v>6176</v>
      </c>
      <c r="E101" s="781">
        <v>1528</v>
      </c>
      <c r="F101" s="781">
        <v>189</v>
      </c>
      <c r="G101" s="533">
        <v>457</v>
      </c>
      <c r="H101" s="778">
        <f>$J$98*D101+$E$99*J101</f>
        <v>2501.8976000000002</v>
      </c>
      <c r="I101" s="100"/>
      <c r="J101" s="570"/>
      <c r="L101" s="570"/>
      <c r="M101" s="100"/>
    </row>
    <row r="102" spans="2:13" ht="12.75" thickBot="1">
      <c r="B102" s="559"/>
      <c r="C102" s="567" t="str">
        <f>C88</f>
        <v>Klimatické změny</v>
      </c>
      <c r="D102" s="783">
        <v>6318</v>
      </c>
      <c r="E102" s="783">
        <v>712</v>
      </c>
      <c r="F102" s="783">
        <v>222</v>
      </c>
      <c r="G102" s="555">
        <v>198</v>
      </c>
      <c r="H102" s="780">
        <f>$J$98*D102+$E$99*J102</f>
        <v>2559.4218</v>
      </c>
      <c r="I102" s="100"/>
      <c r="J102" s="570"/>
      <c r="L102" s="570"/>
      <c r="M102" s="100"/>
    </row>
    <row r="103" spans="3:13" ht="12">
      <c r="C103" s="101" t="str">
        <f>IF('0 Úvod'!$M$3="English",Slovnik!D246,Slovnik!C246)</f>
        <v>Zdroj: Handbook on estimation of external costs in tha transport sector - IMPACT 2007</v>
      </c>
      <c r="D103" s="99"/>
      <c r="E103" s="99"/>
      <c r="F103" s="99"/>
      <c r="G103" s="99"/>
      <c r="H103" s="99"/>
      <c r="I103" s="99"/>
      <c r="J103" s="99"/>
      <c r="K103" s="99"/>
      <c r="L103" s="99"/>
      <c r="M103" s="99"/>
    </row>
    <row r="104" ht="12">
      <c r="C104" s="69"/>
    </row>
    <row r="105" ht="12" thickBot="1"/>
    <row r="106" spans="1:29" ht="12.75">
      <c r="A106" s="49"/>
      <c r="B106" s="450" t="s">
        <v>288</v>
      </c>
      <c r="C106" s="460" t="str">
        <f>IF('0 Úvod'!$M$3="English",Slovnik!D232,Slovnik!C232)</f>
        <v>Celková přeprava oskm / tkm</v>
      </c>
      <c r="D106" s="452"/>
      <c r="E106" s="1351">
        <f>E2</f>
        <v>2014</v>
      </c>
      <c r="F106" s="1351">
        <f aca="true" t="shared" si="82" ref="F106:S106">E106+1</f>
        <v>2015</v>
      </c>
      <c r="G106" s="1351">
        <f t="shared" si="82"/>
        <v>2016</v>
      </c>
      <c r="H106" s="1351">
        <f t="shared" si="82"/>
        <v>2017</v>
      </c>
      <c r="I106" s="1351">
        <f t="shared" si="82"/>
        <v>2018</v>
      </c>
      <c r="J106" s="1351">
        <f t="shared" si="82"/>
        <v>2019</v>
      </c>
      <c r="K106" s="1351">
        <f t="shared" si="82"/>
        <v>2020</v>
      </c>
      <c r="L106" s="1351">
        <f t="shared" si="82"/>
        <v>2021</v>
      </c>
      <c r="M106" s="1351">
        <f t="shared" si="82"/>
        <v>2022</v>
      </c>
      <c r="N106" s="1351">
        <f t="shared" si="82"/>
        <v>2023</v>
      </c>
      <c r="O106" s="1351">
        <f t="shared" si="82"/>
        <v>2024</v>
      </c>
      <c r="P106" s="1351">
        <f t="shared" si="82"/>
        <v>2025</v>
      </c>
      <c r="Q106" s="1351">
        <f t="shared" si="82"/>
        <v>2026</v>
      </c>
      <c r="R106" s="1351">
        <f t="shared" si="82"/>
        <v>2027</v>
      </c>
      <c r="S106" s="1351">
        <f t="shared" si="82"/>
        <v>2028</v>
      </c>
      <c r="T106" s="1351">
        <f aca="true" t="shared" si="83" ref="T106:AC106">S106+1</f>
        <v>2029</v>
      </c>
      <c r="U106" s="1351">
        <f t="shared" si="83"/>
        <v>2030</v>
      </c>
      <c r="V106" s="1351">
        <f t="shared" si="83"/>
        <v>2031</v>
      </c>
      <c r="W106" s="1351">
        <f t="shared" si="83"/>
        <v>2032</v>
      </c>
      <c r="X106" s="1351">
        <f t="shared" si="83"/>
        <v>2033</v>
      </c>
      <c r="Y106" s="1351">
        <f t="shared" si="83"/>
        <v>2034</v>
      </c>
      <c r="Z106" s="1351">
        <f t="shared" si="83"/>
        <v>2035</v>
      </c>
      <c r="AA106" s="1351">
        <f t="shared" si="83"/>
        <v>2036</v>
      </c>
      <c r="AB106" s="1351">
        <f t="shared" si="83"/>
        <v>2037</v>
      </c>
      <c r="AC106" s="1353">
        <f t="shared" si="83"/>
        <v>2038</v>
      </c>
    </row>
    <row r="107" spans="1:29" ht="13.5" thickBot="1">
      <c r="A107" s="49"/>
      <c r="B107" s="453" t="s">
        <v>17</v>
      </c>
      <c r="C107" s="470" t="str">
        <f>C3</f>
        <v>Scénář s projektem</v>
      </c>
      <c r="D107" s="455" t="str">
        <f>D3</f>
        <v>Celkem</v>
      </c>
      <c r="E107" s="1352"/>
      <c r="F107" s="1352"/>
      <c r="G107" s="1352"/>
      <c r="H107" s="1352"/>
      <c r="I107" s="1352"/>
      <c r="J107" s="1352"/>
      <c r="K107" s="1352"/>
      <c r="L107" s="1352"/>
      <c r="M107" s="1352"/>
      <c r="N107" s="1352"/>
      <c r="O107" s="1352"/>
      <c r="P107" s="1352"/>
      <c r="Q107" s="1352"/>
      <c r="R107" s="1352"/>
      <c r="S107" s="1352"/>
      <c r="T107" s="1352"/>
      <c r="U107" s="1352"/>
      <c r="V107" s="1352"/>
      <c r="W107" s="1352"/>
      <c r="X107" s="1352"/>
      <c r="Y107" s="1352"/>
      <c r="Z107" s="1352"/>
      <c r="AA107" s="1352"/>
      <c r="AB107" s="1352"/>
      <c r="AC107" s="1354"/>
    </row>
    <row r="108" spans="1:29" ht="12">
      <c r="A108" s="49"/>
      <c r="B108" s="1398" t="str">
        <f>B4</f>
        <v>Osobní doprava</v>
      </c>
      <c r="C108" s="741" t="str">
        <f>IF('0 Úvod'!$M$3="English",Slovnik!D233,Slovnik!C233)</f>
        <v>Říční doprava</v>
      </c>
      <c r="D108" s="418">
        <f>SUM(E108:AC108,E117:AC117)</f>
        <v>0</v>
      </c>
      <c r="E108" s="1170"/>
      <c r="F108" s="1170"/>
      <c r="G108" s="1170"/>
      <c r="H108" s="1170"/>
      <c r="I108" s="1170"/>
      <c r="J108" s="1170"/>
      <c r="K108" s="1170"/>
      <c r="L108" s="1170"/>
      <c r="M108" s="1170"/>
      <c r="N108" s="1170"/>
      <c r="O108" s="1170"/>
      <c r="P108" s="1170"/>
      <c r="Q108" s="1170"/>
      <c r="R108" s="1170"/>
      <c r="S108" s="1170"/>
      <c r="T108" s="1170"/>
      <c r="U108" s="1170"/>
      <c r="V108" s="1170"/>
      <c r="W108" s="1170"/>
      <c r="X108" s="1170"/>
      <c r="Y108" s="1170"/>
      <c r="Z108" s="1170"/>
      <c r="AA108" s="1170"/>
      <c r="AB108" s="1170"/>
      <c r="AC108" s="1171"/>
    </row>
    <row r="109" spans="1:29" ht="12">
      <c r="A109" s="49"/>
      <c r="B109" s="1399"/>
      <c r="C109" s="741" t="str">
        <f>IF('0 Úvod'!$M$3="English",Slovnik!D234,Slovnik!C234)</f>
        <v>Silniční doprava</v>
      </c>
      <c r="D109" s="418">
        <f>SUM(E109:AC109,E118:AC118)</f>
        <v>0</v>
      </c>
      <c r="E109" s="1170"/>
      <c r="F109" s="1170"/>
      <c r="G109" s="1170"/>
      <c r="H109" s="1170"/>
      <c r="I109" s="1170"/>
      <c r="J109" s="1170"/>
      <c r="K109" s="1170"/>
      <c r="L109" s="1170"/>
      <c r="M109" s="1170"/>
      <c r="N109" s="1170"/>
      <c r="O109" s="1170"/>
      <c r="P109" s="1170"/>
      <c r="Q109" s="1170"/>
      <c r="R109" s="1170"/>
      <c r="S109" s="1170"/>
      <c r="T109" s="1170"/>
      <c r="U109" s="1170"/>
      <c r="V109" s="1170"/>
      <c r="W109" s="1170"/>
      <c r="X109" s="1170"/>
      <c r="Y109" s="1170"/>
      <c r="Z109" s="1170"/>
      <c r="AA109" s="1170"/>
      <c r="AB109" s="1170"/>
      <c r="AC109" s="1171"/>
    </row>
    <row r="110" spans="1:29" ht="12">
      <c r="A110" s="49"/>
      <c r="B110" s="1400"/>
      <c r="C110" s="743" t="str">
        <f>IF('0 Úvod'!$M$3="English",Slovnik!D235,Slovnik!C235)</f>
        <v>Železniční doprava</v>
      </c>
      <c r="D110" s="419">
        <f>SUM(E110:AC110,E119:AC119)</f>
        <v>0</v>
      </c>
      <c r="E110" s="1172"/>
      <c r="F110" s="1172"/>
      <c r="G110" s="1172"/>
      <c r="H110" s="1172"/>
      <c r="I110" s="1172"/>
      <c r="J110" s="1172"/>
      <c r="K110" s="1172"/>
      <c r="L110" s="1172"/>
      <c r="M110" s="1172"/>
      <c r="N110" s="1172"/>
      <c r="O110" s="1172"/>
      <c r="P110" s="1172"/>
      <c r="Q110" s="1172"/>
      <c r="R110" s="1172"/>
      <c r="S110" s="1172"/>
      <c r="T110" s="1172"/>
      <c r="U110" s="1172"/>
      <c r="V110" s="1172"/>
      <c r="W110" s="1172"/>
      <c r="X110" s="1172"/>
      <c r="Y110" s="1172"/>
      <c r="Z110" s="1172"/>
      <c r="AA110" s="1172"/>
      <c r="AB110" s="1172"/>
      <c r="AC110" s="1173"/>
    </row>
    <row r="111" spans="1:29" ht="12">
      <c r="A111" s="49"/>
      <c r="B111" s="1401" t="str">
        <f>B8</f>
        <v>Nákladní doprava</v>
      </c>
      <c r="C111" s="741" t="str">
        <f>C108</f>
        <v>Říční doprava</v>
      </c>
      <c r="D111" s="418">
        <f>SUM(E111:AC111,E120:AC120)</f>
        <v>0</v>
      </c>
      <c r="E111" s="1174"/>
      <c r="F111" s="1174"/>
      <c r="G111" s="1174"/>
      <c r="H111" s="1174"/>
      <c r="I111" s="1174"/>
      <c r="J111" s="1174"/>
      <c r="K111" s="1174"/>
      <c r="L111" s="1174"/>
      <c r="M111" s="1174"/>
      <c r="N111" s="1174"/>
      <c r="O111" s="1174"/>
      <c r="P111" s="1174"/>
      <c r="Q111" s="1174"/>
      <c r="R111" s="1174"/>
      <c r="S111" s="1174"/>
      <c r="T111" s="1174"/>
      <c r="U111" s="1174"/>
      <c r="V111" s="1174"/>
      <c r="W111" s="1174"/>
      <c r="X111" s="1174"/>
      <c r="Y111" s="1174"/>
      <c r="Z111" s="1174"/>
      <c r="AA111" s="1174"/>
      <c r="AB111" s="1174"/>
      <c r="AC111" s="1175"/>
    </row>
    <row r="112" spans="1:29" ht="12.75" customHeight="1">
      <c r="A112" s="49"/>
      <c r="B112" s="1399"/>
      <c r="C112" s="741" t="str">
        <f>C109</f>
        <v>Silniční doprava</v>
      </c>
      <c r="D112" s="418">
        <f>SUM(E112:AC112,E121:AC121)</f>
        <v>0</v>
      </c>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4"/>
      <c r="AA112" s="844"/>
      <c r="AB112" s="844"/>
      <c r="AC112" s="845"/>
    </row>
    <row r="113" spans="1:29" ht="13.5" customHeight="1" thickBot="1">
      <c r="A113" s="49"/>
      <c r="B113" s="1402"/>
      <c r="C113" s="767" t="str">
        <f>C110</f>
        <v>Železniční doprava</v>
      </c>
      <c r="D113" s="427">
        <f>SUM(E113:AC113,E122:AC122)</f>
        <v>0</v>
      </c>
      <c r="E113" s="846"/>
      <c r="F113" s="846"/>
      <c r="G113" s="846"/>
      <c r="H113" s="846"/>
      <c r="I113" s="846"/>
      <c r="J113" s="846"/>
      <c r="K113" s="846"/>
      <c r="L113" s="846"/>
      <c r="M113" s="846"/>
      <c r="N113" s="846"/>
      <c r="O113" s="846"/>
      <c r="P113" s="846"/>
      <c r="Q113" s="846"/>
      <c r="R113" s="846"/>
      <c r="S113" s="846"/>
      <c r="T113" s="846"/>
      <c r="U113" s="846"/>
      <c r="V113" s="846"/>
      <c r="W113" s="846"/>
      <c r="X113" s="846"/>
      <c r="Y113" s="846"/>
      <c r="Z113" s="846"/>
      <c r="AA113" s="846"/>
      <c r="AB113" s="846"/>
      <c r="AC113" s="847"/>
    </row>
    <row r="114" spans="1:29" ht="12" thickBot="1">
      <c r="A114" s="49"/>
      <c r="B114" s="85"/>
      <c r="C114" s="45"/>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row>
    <row r="115" spans="1:29" ht="12.75">
      <c r="A115" s="49"/>
      <c r="B115" s="450" t="str">
        <f>B106</f>
        <v>7.5.</v>
      </c>
      <c r="C115" s="456" t="str">
        <f>C106</f>
        <v>Celková přeprava oskm / tkm</v>
      </c>
      <c r="D115" s="457"/>
      <c r="E115" s="1351">
        <f>AC106+1</f>
        <v>2039</v>
      </c>
      <c r="F115" s="1351">
        <f aca="true" t="shared" si="84" ref="F115:S115">E115+1</f>
        <v>2040</v>
      </c>
      <c r="G115" s="1351">
        <f t="shared" si="84"/>
        <v>2041</v>
      </c>
      <c r="H115" s="1351">
        <f t="shared" si="84"/>
        <v>2042</v>
      </c>
      <c r="I115" s="1351">
        <f t="shared" si="84"/>
        <v>2043</v>
      </c>
      <c r="J115" s="1351">
        <f t="shared" si="84"/>
        <v>2044</v>
      </c>
      <c r="K115" s="1351">
        <f t="shared" si="84"/>
        <v>2045</v>
      </c>
      <c r="L115" s="1351">
        <f t="shared" si="84"/>
        <v>2046</v>
      </c>
      <c r="M115" s="1351">
        <f t="shared" si="84"/>
        <v>2047</v>
      </c>
      <c r="N115" s="1351">
        <f t="shared" si="84"/>
        <v>2048</v>
      </c>
      <c r="O115" s="1351">
        <f t="shared" si="84"/>
        <v>2049</v>
      </c>
      <c r="P115" s="1351">
        <f t="shared" si="84"/>
        <v>2050</v>
      </c>
      <c r="Q115" s="1351">
        <f t="shared" si="84"/>
        <v>2051</v>
      </c>
      <c r="R115" s="1351">
        <f t="shared" si="84"/>
        <v>2052</v>
      </c>
      <c r="S115" s="1351">
        <f t="shared" si="84"/>
        <v>2053</v>
      </c>
      <c r="T115" s="1351">
        <f aca="true" t="shared" si="85" ref="T115:AC115">S115+1</f>
        <v>2054</v>
      </c>
      <c r="U115" s="1351">
        <f t="shared" si="85"/>
        <v>2055</v>
      </c>
      <c r="V115" s="1351">
        <f t="shared" si="85"/>
        <v>2056</v>
      </c>
      <c r="W115" s="1351">
        <f t="shared" si="85"/>
        <v>2057</v>
      </c>
      <c r="X115" s="1351">
        <f t="shared" si="85"/>
        <v>2058</v>
      </c>
      <c r="Y115" s="1351">
        <f t="shared" si="85"/>
        <v>2059</v>
      </c>
      <c r="Z115" s="1351">
        <f t="shared" si="85"/>
        <v>2060</v>
      </c>
      <c r="AA115" s="1351">
        <f t="shared" si="85"/>
        <v>2061</v>
      </c>
      <c r="AB115" s="1351">
        <f t="shared" si="85"/>
        <v>2062</v>
      </c>
      <c r="AC115" s="1353">
        <f t="shared" si="85"/>
        <v>2063</v>
      </c>
    </row>
    <row r="116" spans="1:29" ht="13.5" thickBot="1">
      <c r="A116" s="49"/>
      <c r="B116" s="453" t="s">
        <v>19</v>
      </c>
      <c r="C116" s="458" t="str">
        <f>C107</f>
        <v>Scénář s projektem</v>
      </c>
      <c r="D116" s="459"/>
      <c r="E116" s="1352"/>
      <c r="F116" s="1352"/>
      <c r="G116" s="1352"/>
      <c r="H116" s="1352"/>
      <c r="I116" s="1352"/>
      <c r="J116" s="1352"/>
      <c r="K116" s="1352"/>
      <c r="L116" s="1352"/>
      <c r="M116" s="1352"/>
      <c r="N116" s="1352"/>
      <c r="O116" s="1352"/>
      <c r="P116" s="1352"/>
      <c r="Q116" s="1352"/>
      <c r="R116" s="1352"/>
      <c r="S116" s="1352"/>
      <c r="T116" s="1352"/>
      <c r="U116" s="1352"/>
      <c r="V116" s="1352"/>
      <c r="W116" s="1352"/>
      <c r="X116" s="1352"/>
      <c r="Y116" s="1352"/>
      <c r="Z116" s="1352"/>
      <c r="AA116" s="1352"/>
      <c r="AB116" s="1352"/>
      <c r="AC116" s="1354"/>
    </row>
    <row r="117" spans="1:29" ht="12">
      <c r="A117" s="49"/>
      <c r="B117" s="1398" t="str">
        <f>B4</f>
        <v>Osobní doprava</v>
      </c>
      <c r="C117" s="746" t="str">
        <f aca="true" t="shared" si="86" ref="C117:C122">C108</f>
        <v>Říční doprava</v>
      </c>
      <c r="D117" s="768"/>
      <c r="E117" s="1170"/>
      <c r="F117" s="1170"/>
      <c r="G117" s="1170"/>
      <c r="H117" s="1170"/>
      <c r="I117" s="1170"/>
      <c r="J117" s="1170"/>
      <c r="K117" s="1170"/>
      <c r="L117" s="1170"/>
      <c r="M117" s="1170"/>
      <c r="N117" s="1170"/>
      <c r="O117" s="1170"/>
      <c r="P117" s="1170"/>
      <c r="Q117" s="1170"/>
      <c r="R117" s="1170"/>
      <c r="S117" s="1170"/>
      <c r="T117" s="1170"/>
      <c r="U117" s="1170"/>
      <c r="V117" s="1170"/>
      <c r="W117" s="1170"/>
      <c r="X117" s="1170"/>
      <c r="Y117" s="1170"/>
      <c r="Z117" s="1170"/>
      <c r="AA117" s="1170"/>
      <c r="AB117" s="1170"/>
      <c r="AC117" s="1171"/>
    </row>
    <row r="118" spans="1:29" ht="12">
      <c r="A118" s="49"/>
      <c r="B118" s="1399"/>
      <c r="C118" s="746" t="str">
        <f t="shared" si="86"/>
        <v>Silniční doprava</v>
      </c>
      <c r="D118" s="768"/>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c r="Y118" s="1170"/>
      <c r="Z118" s="1170"/>
      <c r="AA118" s="1170"/>
      <c r="AB118" s="1170"/>
      <c r="AC118" s="1171"/>
    </row>
    <row r="119" spans="1:29" ht="12">
      <c r="A119" s="49"/>
      <c r="B119" s="1400"/>
      <c r="C119" s="749" t="str">
        <f t="shared" si="86"/>
        <v>Železniční doprava</v>
      </c>
      <c r="D119" s="750"/>
      <c r="E119" s="1172"/>
      <c r="F119" s="1172"/>
      <c r="G119" s="1172"/>
      <c r="H119" s="1172"/>
      <c r="I119" s="1172"/>
      <c r="J119" s="1172"/>
      <c r="K119" s="1172"/>
      <c r="L119" s="1172"/>
      <c r="M119" s="1172"/>
      <c r="N119" s="1172"/>
      <c r="O119" s="1172"/>
      <c r="P119" s="1172"/>
      <c r="Q119" s="1172"/>
      <c r="R119" s="1172"/>
      <c r="S119" s="1172"/>
      <c r="T119" s="1172"/>
      <c r="U119" s="1172"/>
      <c r="V119" s="1172"/>
      <c r="W119" s="1172"/>
      <c r="X119" s="1172"/>
      <c r="Y119" s="1172"/>
      <c r="Z119" s="1172"/>
      <c r="AA119" s="1172"/>
      <c r="AB119" s="1172"/>
      <c r="AC119" s="1173"/>
    </row>
    <row r="120" spans="1:29" ht="12">
      <c r="A120" s="49"/>
      <c r="B120" s="1401" t="str">
        <f>B8</f>
        <v>Nákladní doprava</v>
      </c>
      <c r="C120" s="746" t="str">
        <f t="shared" si="86"/>
        <v>Říční doprava</v>
      </c>
      <c r="D120" s="768"/>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4"/>
      <c r="AA120" s="844"/>
      <c r="AB120" s="844"/>
      <c r="AC120" s="845"/>
    </row>
    <row r="121" spans="1:29" ht="12">
      <c r="A121" s="49"/>
      <c r="B121" s="1399"/>
      <c r="C121" s="746" t="str">
        <f t="shared" si="86"/>
        <v>Silniční doprava</v>
      </c>
      <c r="D121" s="768"/>
      <c r="E121" s="1174"/>
      <c r="F121" s="1174"/>
      <c r="G121" s="1174"/>
      <c r="H121" s="1174"/>
      <c r="I121" s="1174"/>
      <c r="J121" s="1174"/>
      <c r="K121" s="1174"/>
      <c r="L121" s="1174"/>
      <c r="M121" s="1174"/>
      <c r="N121" s="1174"/>
      <c r="O121" s="1174"/>
      <c r="P121" s="1174"/>
      <c r="Q121" s="1174"/>
      <c r="R121" s="1174"/>
      <c r="S121" s="1174"/>
      <c r="T121" s="1174"/>
      <c r="U121" s="1174"/>
      <c r="V121" s="1174"/>
      <c r="W121" s="1174"/>
      <c r="X121" s="1174"/>
      <c r="Y121" s="1174"/>
      <c r="Z121" s="1174"/>
      <c r="AA121" s="1174"/>
      <c r="AB121" s="1174"/>
      <c r="AC121" s="1175"/>
    </row>
    <row r="122" spans="1:29" ht="12.75" thickBot="1">
      <c r="A122" s="49"/>
      <c r="B122" s="1402"/>
      <c r="C122" s="769" t="str">
        <f t="shared" si="86"/>
        <v>Železniční doprava</v>
      </c>
      <c r="D122" s="752"/>
      <c r="E122" s="1176"/>
      <c r="F122" s="1176"/>
      <c r="G122" s="1176"/>
      <c r="H122" s="1176"/>
      <c r="I122" s="1176"/>
      <c r="J122" s="1176"/>
      <c r="K122" s="1176"/>
      <c r="L122" s="1176"/>
      <c r="M122" s="1176"/>
      <c r="N122" s="1176"/>
      <c r="O122" s="1176"/>
      <c r="P122" s="1176"/>
      <c r="Q122" s="1176"/>
      <c r="R122" s="1176"/>
      <c r="S122" s="1176"/>
      <c r="T122" s="1176"/>
      <c r="U122" s="1176"/>
      <c r="V122" s="1176"/>
      <c r="W122" s="1176"/>
      <c r="X122" s="1176"/>
      <c r="Y122" s="1176"/>
      <c r="Z122" s="1176"/>
      <c r="AA122" s="1176"/>
      <c r="AB122" s="1176"/>
      <c r="AC122" s="1177"/>
    </row>
    <row r="123" spans="1:29" ht="11.2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row>
    <row r="124" spans="1:29" ht="12" thickBo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row>
    <row r="125" spans="1:29" ht="12.75">
      <c r="A125" s="49"/>
      <c r="B125" s="450" t="s">
        <v>289</v>
      </c>
      <c r="C125" s="460" t="str">
        <f>C106</f>
        <v>Celková přeprava oskm / tkm</v>
      </c>
      <c r="D125" s="452"/>
      <c r="E125" s="1351">
        <f>E106</f>
        <v>2014</v>
      </c>
      <c r="F125" s="1351">
        <f>E125+1</f>
        <v>2015</v>
      </c>
      <c r="G125" s="1351">
        <f>F125+1</f>
        <v>2016</v>
      </c>
      <c r="H125" s="1351">
        <f>G125+1</f>
        <v>2017</v>
      </c>
      <c r="I125" s="1351">
        <f>H125+1</f>
        <v>2018</v>
      </c>
      <c r="J125" s="1351">
        <f>I125+1</f>
        <v>2019</v>
      </c>
      <c r="K125" s="1351">
        <f>J125+1</f>
        <v>2020</v>
      </c>
      <c r="L125" s="1351">
        <f>K125+1</f>
        <v>2021</v>
      </c>
      <c r="M125" s="1351">
        <f>L125+1</f>
        <v>2022</v>
      </c>
      <c r="N125" s="1351">
        <f>M125+1</f>
        <v>2023</v>
      </c>
      <c r="O125" s="1351">
        <f>N125+1</f>
        <v>2024</v>
      </c>
      <c r="P125" s="1351">
        <f>O125+1</f>
        <v>2025</v>
      </c>
      <c r="Q125" s="1351">
        <f>P125+1</f>
        <v>2026</v>
      </c>
      <c r="R125" s="1351">
        <f>Q125+1</f>
        <v>2027</v>
      </c>
      <c r="S125" s="1351">
        <f>R125+1</f>
        <v>2028</v>
      </c>
      <c r="T125" s="1351">
        <f>S125+1</f>
        <v>2029</v>
      </c>
      <c r="U125" s="1351">
        <f>T125+1</f>
        <v>2030</v>
      </c>
      <c r="V125" s="1351">
        <f>U125+1</f>
        <v>2031</v>
      </c>
      <c r="W125" s="1351">
        <f>V125+1</f>
        <v>2032</v>
      </c>
      <c r="X125" s="1351">
        <f>W125+1</f>
        <v>2033</v>
      </c>
      <c r="Y125" s="1351">
        <f>X125+1</f>
        <v>2034</v>
      </c>
      <c r="Z125" s="1351">
        <f>Y125+1</f>
        <v>2035</v>
      </c>
      <c r="AA125" s="1351">
        <f>Z125+1</f>
        <v>2036</v>
      </c>
      <c r="AB125" s="1351">
        <f>AA125+1</f>
        <v>2037</v>
      </c>
      <c r="AC125" s="1353">
        <f>AB125+1</f>
        <v>2038</v>
      </c>
    </row>
    <row r="126" spans="1:29" ht="13.5" thickBot="1">
      <c r="A126" s="49"/>
      <c r="B126" s="453" t="s">
        <v>17</v>
      </c>
      <c r="C126" s="470" t="str">
        <f>C28</f>
        <v>Scénář bez projektu</v>
      </c>
      <c r="D126" s="455" t="str">
        <f>D107</f>
        <v>Celkem</v>
      </c>
      <c r="E126" s="1352"/>
      <c r="F126" s="1352"/>
      <c r="G126" s="1352"/>
      <c r="H126" s="1352"/>
      <c r="I126" s="1352"/>
      <c r="J126" s="1352"/>
      <c r="K126" s="1352"/>
      <c r="L126" s="1352"/>
      <c r="M126" s="1352"/>
      <c r="N126" s="1352"/>
      <c r="O126" s="1352"/>
      <c r="P126" s="1352"/>
      <c r="Q126" s="1352"/>
      <c r="R126" s="1352"/>
      <c r="S126" s="1352"/>
      <c r="T126" s="1352"/>
      <c r="U126" s="1352"/>
      <c r="V126" s="1352"/>
      <c r="W126" s="1352"/>
      <c r="X126" s="1352"/>
      <c r="Y126" s="1352"/>
      <c r="Z126" s="1352"/>
      <c r="AA126" s="1352"/>
      <c r="AB126" s="1352"/>
      <c r="AC126" s="1354"/>
    </row>
    <row r="127" spans="1:29" ht="12">
      <c r="A127" s="49"/>
      <c r="B127" s="1398" t="str">
        <f>B108</f>
        <v>Osobní doprava</v>
      </c>
      <c r="C127" s="741" t="str">
        <f>C108</f>
        <v>Říční doprava</v>
      </c>
      <c r="D127" s="418">
        <f>SUM(E127:AC127,E136:AC136)</f>
        <v>0</v>
      </c>
      <c r="E127" s="1170"/>
      <c r="F127" s="1170"/>
      <c r="G127" s="1170"/>
      <c r="H127" s="1170"/>
      <c r="I127" s="1170"/>
      <c r="J127" s="1170"/>
      <c r="K127" s="1170"/>
      <c r="L127" s="1170"/>
      <c r="M127" s="1170"/>
      <c r="N127" s="1170"/>
      <c r="O127" s="1170"/>
      <c r="P127" s="1170"/>
      <c r="Q127" s="1170"/>
      <c r="R127" s="1170"/>
      <c r="S127" s="1170"/>
      <c r="T127" s="1170"/>
      <c r="U127" s="1170"/>
      <c r="V127" s="1170"/>
      <c r="W127" s="1170"/>
      <c r="X127" s="1170"/>
      <c r="Y127" s="1170"/>
      <c r="Z127" s="1170"/>
      <c r="AA127" s="1170"/>
      <c r="AB127" s="1170"/>
      <c r="AC127" s="1171"/>
    </row>
    <row r="128" spans="1:29" ht="12">
      <c r="A128" s="49"/>
      <c r="B128" s="1399"/>
      <c r="C128" s="741" t="str">
        <f>C109</f>
        <v>Silniční doprava</v>
      </c>
      <c r="D128" s="418">
        <f>SUM(E128:AC128,E137:AC137)</f>
        <v>0</v>
      </c>
      <c r="E128" s="1170"/>
      <c r="F128" s="1170"/>
      <c r="G128" s="1170"/>
      <c r="H128" s="1170"/>
      <c r="I128" s="1170"/>
      <c r="J128" s="1170"/>
      <c r="K128" s="1170"/>
      <c r="L128" s="1170"/>
      <c r="M128" s="1170"/>
      <c r="N128" s="1170"/>
      <c r="O128" s="1170"/>
      <c r="P128" s="1170"/>
      <c r="Q128" s="1170"/>
      <c r="R128" s="1170"/>
      <c r="S128" s="1170"/>
      <c r="T128" s="1170"/>
      <c r="U128" s="1170"/>
      <c r="V128" s="1170"/>
      <c r="W128" s="1170"/>
      <c r="X128" s="1170"/>
      <c r="Y128" s="1170"/>
      <c r="Z128" s="1170"/>
      <c r="AA128" s="1170"/>
      <c r="AB128" s="1170"/>
      <c r="AC128" s="1171"/>
    </row>
    <row r="129" spans="1:29" ht="12">
      <c r="A129" s="49"/>
      <c r="B129" s="1400"/>
      <c r="C129" s="743" t="str">
        <f>C110</f>
        <v>Železniční doprava</v>
      </c>
      <c r="D129" s="419">
        <f>SUM(E129:AC129,E138:AC138)</f>
        <v>0</v>
      </c>
      <c r="E129" s="1172"/>
      <c r="F129" s="1172"/>
      <c r="G129" s="1172"/>
      <c r="H129" s="1172"/>
      <c r="I129" s="1172"/>
      <c r="J129" s="1172"/>
      <c r="K129" s="1172"/>
      <c r="L129" s="1172"/>
      <c r="M129" s="1172"/>
      <c r="N129" s="1172"/>
      <c r="O129" s="1172"/>
      <c r="P129" s="1172"/>
      <c r="Q129" s="1172"/>
      <c r="R129" s="1172"/>
      <c r="S129" s="1172"/>
      <c r="T129" s="1172"/>
      <c r="U129" s="1172"/>
      <c r="V129" s="1172"/>
      <c r="W129" s="1172"/>
      <c r="X129" s="1172"/>
      <c r="Y129" s="1172"/>
      <c r="Z129" s="1172"/>
      <c r="AA129" s="1172"/>
      <c r="AB129" s="1172"/>
      <c r="AC129" s="1173"/>
    </row>
    <row r="130" spans="1:29" ht="12">
      <c r="A130" s="49"/>
      <c r="B130" s="1401" t="str">
        <f>B111</f>
        <v>Nákladní doprava</v>
      </c>
      <c r="C130" s="741" t="str">
        <f>C127</f>
        <v>Říční doprava</v>
      </c>
      <c r="D130" s="418">
        <f>SUM(E130:AC130,E139:AC139)</f>
        <v>0</v>
      </c>
      <c r="E130" s="1174"/>
      <c r="F130" s="1174"/>
      <c r="G130" s="1174"/>
      <c r="H130" s="1174"/>
      <c r="I130" s="1174"/>
      <c r="J130" s="1174"/>
      <c r="K130" s="1174"/>
      <c r="L130" s="1174"/>
      <c r="M130" s="1174"/>
      <c r="N130" s="1174"/>
      <c r="O130" s="1174"/>
      <c r="P130" s="1174"/>
      <c r="Q130" s="1174"/>
      <c r="R130" s="1174"/>
      <c r="S130" s="1174"/>
      <c r="T130" s="1174"/>
      <c r="U130" s="1174"/>
      <c r="V130" s="1174"/>
      <c r="W130" s="1174"/>
      <c r="X130" s="1174"/>
      <c r="Y130" s="1174"/>
      <c r="Z130" s="1174"/>
      <c r="AA130" s="1174"/>
      <c r="AB130" s="1174"/>
      <c r="AC130" s="1175"/>
    </row>
    <row r="131" spans="1:29" ht="12.75" customHeight="1">
      <c r="A131" s="49"/>
      <c r="B131" s="1399"/>
      <c r="C131" s="741" t="str">
        <f>C128</f>
        <v>Silniční doprava</v>
      </c>
      <c r="D131" s="418">
        <f>SUM(E131:AC131,E140:AC140)</f>
        <v>0</v>
      </c>
      <c r="E131" s="844"/>
      <c r="F131" s="844"/>
      <c r="G131" s="844"/>
      <c r="H131" s="844"/>
      <c r="I131" s="844"/>
      <c r="J131" s="844"/>
      <c r="K131" s="844"/>
      <c r="L131" s="844"/>
      <c r="M131" s="844"/>
      <c r="N131" s="844"/>
      <c r="O131" s="844"/>
      <c r="P131" s="844"/>
      <c r="Q131" s="844"/>
      <c r="R131" s="844"/>
      <c r="S131" s="844"/>
      <c r="T131" s="844"/>
      <c r="U131" s="844"/>
      <c r="V131" s="844"/>
      <c r="W131" s="844"/>
      <c r="X131" s="844"/>
      <c r="Y131" s="844"/>
      <c r="Z131" s="844"/>
      <c r="AA131" s="844"/>
      <c r="AB131" s="844"/>
      <c r="AC131" s="845"/>
    </row>
    <row r="132" spans="1:29" ht="13.5" customHeight="1" thickBot="1">
      <c r="A132" s="49"/>
      <c r="B132" s="1402"/>
      <c r="C132" s="767" t="str">
        <f>C129</f>
        <v>Železniční doprava</v>
      </c>
      <c r="D132" s="427">
        <f>SUM(E132:AC132,E141:AC141)</f>
        <v>0</v>
      </c>
      <c r="E132" s="846"/>
      <c r="F132" s="846"/>
      <c r="G132" s="846"/>
      <c r="H132" s="846"/>
      <c r="I132" s="846"/>
      <c r="J132" s="846"/>
      <c r="K132" s="846"/>
      <c r="L132" s="846"/>
      <c r="M132" s="846"/>
      <c r="N132" s="846"/>
      <c r="O132" s="846"/>
      <c r="P132" s="846"/>
      <c r="Q132" s="846"/>
      <c r="R132" s="846"/>
      <c r="S132" s="846"/>
      <c r="T132" s="846"/>
      <c r="U132" s="846"/>
      <c r="V132" s="846"/>
      <c r="W132" s="846"/>
      <c r="X132" s="846"/>
      <c r="Y132" s="846"/>
      <c r="Z132" s="846"/>
      <c r="AA132" s="846"/>
      <c r="AB132" s="846"/>
      <c r="AC132" s="847"/>
    </row>
    <row r="133" spans="1:29" ht="12" thickBot="1">
      <c r="A133" s="49"/>
      <c r="B133" s="85"/>
      <c r="C133" s="45"/>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row>
    <row r="134" spans="1:29" ht="12.75">
      <c r="A134" s="49"/>
      <c r="B134" s="450" t="str">
        <f>B125</f>
        <v>7.6.</v>
      </c>
      <c r="C134" s="456" t="str">
        <f>C125</f>
        <v>Celková přeprava oskm / tkm</v>
      </c>
      <c r="D134" s="457"/>
      <c r="E134" s="1351">
        <f>AC125+1</f>
        <v>2039</v>
      </c>
      <c r="F134" s="1351">
        <f>E134+1</f>
        <v>2040</v>
      </c>
      <c r="G134" s="1351">
        <f>F134+1</f>
        <v>2041</v>
      </c>
      <c r="H134" s="1351">
        <f>G134+1</f>
        <v>2042</v>
      </c>
      <c r="I134" s="1351">
        <f>H134+1</f>
        <v>2043</v>
      </c>
      <c r="J134" s="1351">
        <f>I134+1</f>
        <v>2044</v>
      </c>
      <c r="K134" s="1351">
        <f>J134+1</f>
        <v>2045</v>
      </c>
      <c r="L134" s="1351">
        <f>K134+1</f>
        <v>2046</v>
      </c>
      <c r="M134" s="1351">
        <f>L134+1</f>
        <v>2047</v>
      </c>
      <c r="N134" s="1351">
        <f>M134+1</f>
        <v>2048</v>
      </c>
      <c r="O134" s="1351">
        <f>N134+1</f>
        <v>2049</v>
      </c>
      <c r="P134" s="1351">
        <f>O134+1</f>
        <v>2050</v>
      </c>
      <c r="Q134" s="1351">
        <f>P134+1</f>
        <v>2051</v>
      </c>
      <c r="R134" s="1351">
        <f>Q134+1</f>
        <v>2052</v>
      </c>
      <c r="S134" s="1351">
        <f>R134+1</f>
        <v>2053</v>
      </c>
      <c r="T134" s="1351">
        <f>S134+1</f>
        <v>2054</v>
      </c>
      <c r="U134" s="1351">
        <f>T134+1</f>
        <v>2055</v>
      </c>
      <c r="V134" s="1351">
        <f>U134+1</f>
        <v>2056</v>
      </c>
      <c r="W134" s="1351">
        <f>V134+1</f>
        <v>2057</v>
      </c>
      <c r="X134" s="1351">
        <f>W134+1</f>
        <v>2058</v>
      </c>
      <c r="Y134" s="1351">
        <f>X134+1</f>
        <v>2059</v>
      </c>
      <c r="Z134" s="1351">
        <f>Y134+1</f>
        <v>2060</v>
      </c>
      <c r="AA134" s="1351">
        <f>Z134+1</f>
        <v>2061</v>
      </c>
      <c r="AB134" s="1351">
        <f>AA134+1</f>
        <v>2062</v>
      </c>
      <c r="AC134" s="1353">
        <f>AB134+1</f>
        <v>2063</v>
      </c>
    </row>
    <row r="135" spans="1:29" ht="13.5" thickBot="1">
      <c r="A135" s="49"/>
      <c r="B135" s="453" t="s">
        <v>19</v>
      </c>
      <c r="C135" s="458" t="str">
        <f>C126</f>
        <v>Scénář bez projektu</v>
      </c>
      <c r="D135" s="459"/>
      <c r="E135" s="1352"/>
      <c r="F135" s="1352"/>
      <c r="G135" s="1352"/>
      <c r="H135" s="1352"/>
      <c r="I135" s="1352"/>
      <c r="J135" s="1352"/>
      <c r="K135" s="1352"/>
      <c r="L135" s="1352"/>
      <c r="M135" s="1352"/>
      <c r="N135" s="1352"/>
      <c r="O135" s="1352"/>
      <c r="P135" s="1352"/>
      <c r="Q135" s="1352"/>
      <c r="R135" s="1352"/>
      <c r="S135" s="1352"/>
      <c r="T135" s="1352"/>
      <c r="U135" s="1352"/>
      <c r="V135" s="1352"/>
      <c r="W135" s="1352"/>
      <c r="X135" s="1352"/>
      <c r="Y135" s="1352"/>
      <c r="Z135" s="1352"/>
      <c r="AA135" s="1352"/>
      <c r="AB135" s="1352"/>
      <c r="AC135" s="1354"/>
    </row>
    <row r="136" spans="1:29" ht="12">
      <c r="A136" s="49"/>
      <c r="B136" s="1398" t="str">
        <f>B127</f>
        <v>Osobní doprava</v>
      </c>
      <c r="C136" s="746" t="str">
        <f aca="true" t="shared" si="87" ref="C136:C141">C127</f>
        <v>Říční doprava</v>
      </c>
      <c r="D136" s="768"/>
      <c r="E136" s="1170"/>
      <c r="F136" s="1170"/>
      <c r="G136" s="1170"/>
      <c r="H136" s="1170"/>
      <c r="I136" s="1170"/>
      <c r="J136" s="1170"/>
      <c r="K136" s="1170"/>
      <c r="L136" s="1170"/>
      <c r="M136" s="1170"/>
      <c r="N136" s="1170"/>
      <c r="O136" s="1170"/>
      <c r="P136" s="1170"/>
      <c r="Q136" s="1170"/>
      <c r="R136" s="1170"/>
      <c r="S136" s="1170"/>
      <c r="T136" s="1170"/>
      <c r="U136" s="1170"/>
      <c r="V136" s="1170"/>
      <c r="W136" s="1170"/>
      <c r="X136" s="1170"/>
      <c r="Y136" s="1170"/>
      <c r="Z136" s="1170"/>
      <c r="AA136" s="1170"/>
      <c r="AB136" s="1170"/>
      <c r="AC136" s="1171"/>
    </row>
    <row r="137" spans="1:29" ht="12">
      <c r="A137" s="49"/>
      <c r="B137" s="1399"/>
      <c r="C137" s="746" t="str">
        <f t="shared" si="87"/>
        <v>Silniční doprava</v>
      </c>
      <c r="D137" s="768"/>
      <c r="E137" s="1170"/>
      <c r="F137" s="1170"/>
      <c r="G137" s="1170"/>
      <c r="H137" s="1170"/>
      <c r="I137" s="1170"/>
      <c r="J137" s="1170"/>
      <c r="K137" s="1170"/>
      <c r="L137" s="1170"/>
      <c r="M137" s="1170"/>
      <c r="N137" s="1170"/>
      <c r="O137" s="1170"/>
      <c r="P137" s="1170"/>
      <c r="Q137" s="1170"/>
      <c r="R137" s="1170"/>
      <c r="S137" s="1170"/>
      <c r="T137" s="1170"/>
      <c r="U137" s="1170"/>
      <c r="V137" s="1170"/>
      <c r="W137" s="1170"/>
      <c r="X137" s="1170"/>
      <c r="Y137" s="1170"/>
      <c r="Z137" s="1170"/>
      <c r="AA137" s="1170"/>
      <c r="AB137" s="1170"/>
      <c r="AC137" s="1171"/>
    </row>
    <row r="138" spans="1:29" ht="12">
      <c r="A138" s="49"/>
      <c r="B138" s="1400"/>
      <c r="C138" s="749" t="str">
        <f t="shared" si="87"/>
        <v>Železniční doprava</v>
      </c>
      <c r="D138" s="750"/>
      <c r="E138" s="1172"/>
      <c r="F138" s="1172"/>
      <c r="G138" s="1172"/>
      <c r="H138" s="1172"/>
      <c r="I138" s="1172"/>
      <c r="J138" s="1172"/>
      <c r="K138" s="1172"/>
      <c r="L138" s="1172"/>
      <c r="M138" s="1172"/>
      <c r="N138" s="1172"/>
      <c r="O138" s="1172"/>
      <c r="P138" s="1172"/>
      <c r="Q138" s="1172"/>
      <c r="R138" s="1172"/>
      <c r="S138" s="1172"/>
      <c r="T138" s="1172"/>
      <c r="U138" s="1172"/>
      <c r="V138" s="1172"/>
      <c r="W138" s="1172"/>
      <c r="X138" s="1172"/>
      <c r="Y138" s="1172"/>
      <c r="Z138" s="1172"/>
      <c r="AA138" s="1172"/>
      <c r="AB138" s="1172"/>
      <c r="AC138" s="1173"/>
    </row>
    <row r="139" spans="1:29" ht="12">
      <c r="A139" s="49"/>
      <c r="B139" s="1401" t="str">
        <f>B130</f>
        <v>Nákladní doprava</v>
      </c>
      <c r="C139" s="746" t="str">
        <f t="shared" si="87"/>
        <v>Říční doprava</v>
      </c>
      <c r="D139" s="768"/>
      <c r="E139" s="844"/>
      <c r="F139" s="844"/>
      <c r="G139" s="844"/>
      <c r="H139" s="844"/>
      <c r="I139" s="844"/>
      <c r="J139" s="844"/>
      <c r="K139" s="844"/>
      <c r="L139" s="844"/>
      <c r="M139" s="844"/>
      <c r="N139" s="844"/>
      <c r="O139" s="844"/>
      <c r="P139" s="844"/>
      <c r="Q139" s="844"/>
      <c r="R139" s="844"/>
      <c r="S139" s="844"/>
      <c r="T139" s="844"/>
      <c r="U139" s="844"/>
      <c r="V139" s="844"/>
      <c r="W139" s="844"/>
      <c r="X139" s="844"/>
      <c r="Y139" s="844"/>
      <c r="Z139" s="844"/>
      <c r="AA139" s="844"/>
      <c r="AB139" s="844"/>
      <c r="AC139" s="845"/>
    </row>
    <row r="140" spans="1:29" ht="12">
      <c r="A140" s="49"/>
      <c r="B140" s="1399"/>
      <c r="C140" s="746" t="str">
        <f t="shared" si="87"/>
        <v>Silniční doprava</v>
      </c>
      <c r="D140" s="768"/>
      <c r="E140" s="1174"/>
      <c r="F140" s="1174"/>
      <c r="G140" s="1174"/>
      <c r="H140" s="1174"/>
      <c r="I140" s="1174"/>
      <c r="J140" s="1174"/>
      <c r="K140" s="1174"/>
      <c r="L140" s="1174"/>
      <c r="M140" s="1174"/>
      <c r="N140" s="1174"/>
      <c r="O140" s="1174"/>
      <c r="P140" s="1174"/>
      <c r="Q140" s="1174"/>
      <c r="R140" s="1174"/>
      <c r="S140" s="1174"/>
      <c r="T140" s="1174"/>
      <c r="U140" s="1174"/>
      <c r="V140" s="1174"/>
      <c r="W140" s="1174"/>
      <c r="X140" s="1174"/>
      <c r="Y140" s="1174"/>
      <c r="Z140" s="1174"/>
      <c r="AA140" s="1174"/>
      <c r="AB140" s="1174"/>
      <c r="AC140" s="1175"/>
    </row>
    <row r="141" spans="1:29" ht="12.75" thickBot="1">
      <c r="A141" s="49"/>
      <c r="B141" s="1402"/>
      <c r="C141" s="769" t="str">
        <f t="shared" si="87"/>
        <v>Železniční doprava</v>
      </c>
      <c r="D141" s="752"/>
      <c r="E141" s="1176"/>
      <c r="F141" s="1176"/>
      <c r="G141" s="1176"/>
      <c r="H141" s="1176"/>
      <c r="I141" s="1176"/>
      <c r="J141" s="1176"/>
      <c r="K141" s="1176"/>
      <c r="L141" s="1176"/>
      <c r="M141" s="1176"/>
      <c r="N141" s="1176"/>
      <c r="O141" s="1176"/>
      <c r="P141" s="1176"/>
      <c r="Q141" s="1176"/>
      <c r="R141" s="1176"/>
      <c r="S141" s="1176"/>
      <c r="T141" s="1176"/>
      <c r="U141" s="1176"/>
      <c r="V141" s="1176"/>
      <c r="W141" s="1176"/>
      <c r="X141" s="1176"/>
      <c r="Y141" s="1176"/>
      <c r="Z141" s="1176"/>
      <c r="AA141" s="1176"/>
      <c r="AB141" s="1176"/>
      <c r="AC141" s="1177"/>
    </row>
    <row r="142" spans="1:29" ht="12" thickBo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row>
    <row r="143" spans="1:29" ht="11.25">
      <c r="A143" s="49"/>
      <c r="B143" s="1424" t="str">
        <f>IF('0 Úvod'!$M$3="English",Slovnik!D247,Slovnik!C247)</f>
        <v>Komentáře</v>
      </c>
      <c r="C143" s="1425"/>
      <c r="D143" s="1425"/>
      <c r="E143" s="1425"/>
      <c r="F143" s="1425"/>
      <c r="G143" s="1425"/>
      <c r="H143" s="1425"/>
      <c r="I143" s="1425"/>
      <c r="J143" s="1425"/>
      <c r="K143" s="1425"/>
      <c r="L143" s="1425"/>
      <c r="M143" s="1425"/>
      <c r="N143" s="1425"/>
      <c r="O143" s="1425"/>
      <c r="P143" s="1426"/>
      <c r="Q143" s="49"/>
      <c r="R143" s="49"/>
      <c r="S143" s="49"/>
      <c r="T143" s="49"/>
      <c r="U143" s="49"/>
      <c r="V143" s="49"/>
      <c r="W143" s="49"/>
      <c r="X143" s="49"/>
      <c r="Y143" s="49"/>
      <c r="Z143" s="49"/>
      <c r="AA143" s="49"/>
      <c r="AB143" s="49"/>
      <c r="AC143" s="49"/>
    </row>
    <row r="144" spans="1:29" ht="12" thickBot="1">
      <c r="A144" s="49"/>
      <c r="B144" s="1427"/>
      <c r="C144" s="1428"/>
      <c r="D144" s="1428"/>
      <c r="E144" s="1428"/>
      <c r="F144" s="1428"/>
      <c r="G144" s="1428"/>
      <c r="H144" s="1428"/>
      <c r="I144" s="1428"/>
      <c r="J144" s="1428"/>
      <c r="K144" s="1428"/>
      <c r="L144" s="1428"/>
      <c r="M144" s="1428"/>
      <c r="N144" s="1428"/>
      <c r="O144" s="1428"/>
      <c r="P144" s="1429"/>
      <c r="Q144" s="49"/>
      <c r="R144" s="49"/>
      <c r="S144" s="49"/>
      <c r="T144" s="49"/>
      <c r="U144" s="49"/>
      <c r="V144" s="49"/>
      <c r="W144" s="49"/>
      <c r="X144" s="49"/>
      <c r="Y144" s="49"/>
      <c r="Z144" s="49"/>
      <c r="AA144" s="49"/>
      <c r="AB144" s="49"/>
      <c r="AC144" s="49"/>
    </row>
    <row r="145" spans="1:29" ht="12.75" customHeight="1">
      <c r="A145" s="49"/>
      <c r="B145" s="1411"/>
      <c r="C145" s="1412"/>
      <c r="D145" s="1412"/>
      <c r="E145" s="1412"/>
      <c r="F145" s="1412"/>
      <c r="G145" s="1412"/>
      <c r="H145" s="1412"/>
      <c r="I145" s="1412"/>
      <c r="J145" s="1412"/>
      <c r="K145" s="1412"/>
      <c r="L145" s="1412"/>
      <c r="M145" s="1412"/>
      <c r="N145" s="1412"/>
      <c r="O145" s="1412"/>
      <c r="P145" s="1413"/>
      <c r="Q145" s="49"/>
      <c r="R145" s="49"/>
      <c r="S145" s="49"/>
      <c r="T145" s="49"/>
      <c r="U145" s="49"/>
      <c r="V145" s="49"/>
      <c r="W145" s="49"/>
      <c r="X145" s="49"/>
      <c r="Y145" s="49"/>
      <c r="Z145" s="49"/>
      <c r="AA145" s="49"/>
      <c r="AB145" s="49"/>
      <c r="AC145" s="49"/>
    </row>
    <row r="146" spans="1:29" ht="12.75" customHeight="1">
      <c r="A146" s="49"/>
      <c r="B146" s="1414"/>
      <c r="C146" s="1415"/>
      <c r="D146" s="1415"/>
      <c r="E146" s="1415"/>
      <c r="F146" s="1415"/>
      <c r="G146" s="1415"/>
      <c r="H146" s="1415"/>
      <c r="I146" s="1415"/>
      <c r="J146" s="1415"/>
      <c r="K146" s="1415"/>
      <c r="L146" s="1415"/>
      <c r="M146" s="1415"/>
      <c r="N146" s="1415"/>
      <c r="O146" s="1415"/>
      <c r="P146" s="1416"/>
      <c r="Q146" s="49"/>
      <c r="R146" s="49"/>
      <c r="S146" s="49"/>
      <c r="T146" s="49"/>
      <c r="U146" s="49"/>
      <c r="V146" s="49"/>
      <c r="W146" s="49"/>
      <c r="X146" s="49"/>
      <c r="Y146" s="49"/>
      <c r="Z146" s="49"/>
      <c r="AA146" s="49"/>
      <c r="AB146" s="49"/>
      <c r="AC146" s="49"/>
    </row>
    <row r="147" spans="1:29" ht="12.75" customHeight="1" thickBot="1">
      <c r="A147" s="49"/>
      <c r="B147" s="1417"/>
      <c r="C147" s="1418"/>
      <c r="D147" s="1418"/>
      <c r="E147" s="1418"/>
      <c r="F147" s="1418"/>
      <c r="G147" s="1418"/>
      <c r="H147" s="1418"/>
      <c r="I147" s="1418"/>
      <c r="J147" s="1418"/>
      <c r="K147" s="1418"/>
      <c r="L147" s="1418"/>
      <c r="M147" s="1418"/>
      <c r="N147" s="1418"/>
      <c r="O147" s="1418"/>
      <c r="P147" s="1419"/>
      <c r="Q147" s="49"/>
      <c r="R147" s="49"/>
      <c r="S147" s="49"/>
      <c r="T147" s="49"/>
      <c r="U147" s="49"/>
      <c r="V147" s="49"/>
      <c r="W147" s="49"/>
      <c r="X147" s="49"/>
      <c r="Y147" s="49"/>
      <c r="Z147" s="49"/>
      <c r="AA147" s="49"/>
      <c r="AB147" s="49"/>
      <c r="AC147" s="49"/>
    </row>
    <row r="148" spans="1:29" ht="12" thickBo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row>
    <row r="149" spans="1:29" ht="12.75">
      <c r="A149" s="49"/>
      <c r="B149" s="383" t="s">
        <v>521</v>
      </c>
      <c r="C149" s="757" t="str">
        <f>IF('0 Úvod'!$M$3="English",Slovnik!D236,Slovnik!C236)</f>
        <v>Změna měrných hodnot</v>
      </c>
      <c r="D149" s="758"/>
      <c r="E149" s="1420">
        <f>E106</f>
        <v>2014</v>
      </c>
      <c r="F149" s="1420">
        <f aca="true" t="shared" si="88" ref="F149:S149">E149+1</f>
        <v>2015</v>
      </c>
      <c r="G149" s="1420">
        <f t="shared" si="88"/>
        <v>2016</v>
      </c>
      <c r="H149" s="1420">
        <f t="shared" si="88"/>
        <v>2017</v>
      </c>
      <c r="I149" s="1420">
        <f t="shared" si="88"/>
        <v>2018</v>
      </c>
      <c r="J149" s="1420">
        <f t="shared" si="88"/>
        <v>2019</v>
      </c>
      <c r="K149" s="1420">
        <f t="shared" si="88"/>
        <v>2020</v>
      </c>
      <c r="L149" s="1420">
        <f t="shared" si="88"/>
        <v>2021</v>
      </c>
      <c r="M149" s="1420">
        <f t="shared" si="88"/>
        <v>2022</v>
      </c>
      <c r="N149" s="1420">
        <f t="shared" si="88"/>
        <v>2023</v>
      </c>
      <c r="O149" s="1420">
        <f t="shared" si="88"/>
        <v>2024</v>
      </c>
      <c r="P149" s="1420">
        <f t="shared" si="88"/>
        <v>2025</v>
      </c>
      <c r="Q149" s="1420">
        <f t="shared" si="88"/>
        <v>2026</v>
      </c>
      <c r="R149" s="1420">
        <f t="shared" si="88"/>
        <v>2027</v>
      </c>
      <c r="S149" s="1420">
        <f t="shared" si="88"/>
        <v>2028</v>
      </c>
      <c r="T149" s="1420">
        <f aca="true" t="shared" si="89" ref="T149:AC149">S149+1</f>
        <v>2029</v>
      </c>
      <c r="U149" s="1420">
        <f t="shared" si="89"/>
        <v>2030</v>
      </c>
      <c r="V149" s="1420">
        <f t="shared" si="89"/>
        <v>2031</v>
      </c>
      <c r="W149" s="1420">
        <f t="shared" si="89"/>
        <v>2032</v>
      </c>
      <c r="X149" s="1420">
        <f t="shared" si="89"/>
        <v>2033</v>
      </c>
      <c r="Y149" s="1420">
        <f t="shared" si="89"/>
        <v>2034</v>
      </c>
      <c r="Z149" s="1420">
        <f t="shared" si="89"/>
        <v>2035</v>
      </c>
      <c r="AA149" s="1420">
        <f t="shared" si="89"/>
        <v>2036</v>
      </c>
      <c r="AB149" s="1420">
        <f t="shared" si="89"/>
        <v>2037</v>
      </c>
      <c r="AC149" s="1422">
        <f t="shared" si="89"/>
        <v>2038</v>
      </c>
    </row>
    <row r="150" spans="1:29" ht="13.5" thickBot="1">
      <c r="A150" s="49"/>
      <c r="B150" s="759" t="s">
        <v>17</v>
      </c>
      <c r="C150" s="761" t="str">
        <f>IF('0 Úvod'!$M$3="English",Slovnik!D245,Slovnik!C245)</f>
        <v>CZK oskm nebo tkm</v>
      </c>
      <c r="D150" s="762"/>
      <c r="E150" s="1421"/>
      <c r="F150" s="1421"/>
      <c r="G150" s="1421"/>
      <c r="H150" s="1421"/>
      <c r="I150" s="1421"/>
      <c r="J150" s="1421"/>
      <c r="K150" s="1421"/>
      <c r="L150" s="1421"/>
      <c r="M150" s="1421"/>
      <c r="N150" s="1421"/>
      <c r="O150" s="1421"/>
      <c r="P150" s="1421"/>
      <c r="Q150" s="1421"/>
      <c r="R150" s="1421"/>
      <c r="S150" s="1421"/>
      <c r="T150" s="1421"/>
      <c r="U150" s="1421"/>
      <c r="V150" s="1421"/>
      <c r="W150" s="1421"/>
      <c r="X150" s="1421"/>
      <c r="Y150" s="1421"/>
      <c r="Z150" s="1421"/>
      <c r="AA150" s="1421"/>
      <c r="AB150" s="1421"/>
      <c r="AC150" s="1423"/>
    </row>
    <row r="151" spans="1:29" ht="13.5" thickBot="1">
      <c r="A151" s="49"/>
      <c r="B151" s="772"/>
      <c r="C151" s="774" t="str">
        <f>IF('0 Úvod'!$M$3="English",Slovnik!D237,Slovnik!C237)</f>
        <v>Změna HDP</v>
      </c>
      <c r="D151" s="775"/>
      <c r="E151" s="1220">
        <f>'0 Úvod'!D73</f>
        <v>-0.013</v>
      </c>
      <c r="F151" s="1220">
        <f>'0 Úvod'!E73</f>
        <v>0.018</v>
      </c>
      <c r="G151" s="1220">
        <f>'0 Úvod'!F73</f>
        <v>0.024</v>
      </c>
      <c r="H151" s="1220">
        <f>'0 Úvod'!G73</f>
        <v>0.027</v>
      </c>
      <c r="I151" s="1220">
        <f>'0 Úvod'!H73</f>
        <v>0.035</v>
      </c>
      <c r="J151" s="1220">
        <f>'0 Úvod'!I73</f>
        <v>0.035</v>
      </c>
      <c r="K151" s="1220">
        <f>'0 Úvod'!J73</f>
        <v>0.035</v>
      </c>
      <c r="L151" s="1220">
        <f>'0 Úvod'!K73</f>
        <v>0.03</v>
      </c>
      <c r="M151" s="1220">
        <f>'0 Úvod'!$L$73</f>
        <v>0.025</v>
      </c>
      <c r="N151" s="1220">
        <f>'0 Úvod'!$L$73</f>
        <v>0.025</v>
      </c>
      <c r="O151" s="1220">
        <f>'0 Úvod'!$L$73</f>
        <v>0.025</v>
      </c>
      <c r="P151" s="1220">
        <f>'0 Úvod'!$L$73</f>
        <v>0.025</v>
      </c>
      <c r="Q151" s="1220">
        <f>'0 Úvod'!$L$73</f>
        <v>0.025</v>
      </c>
      <c r="R151" s="1220">
        <f>'0 Úvod'!$L$73</f>
        <v>0.025</v>
      </c>
      <c r="S151" s="1220">
        <f>'0 Úvod'!$L$73</f>
        <v>0.025</v>
      </c>
      <c r="T151" s="1220">
        <f>'0 Úvod'!$L$73</f>
        <v>0.025</v>
      </c>
      <c r="U151" s="1220">
        <f>'0 Úvod'!$L$73</f>
        <v>0.025</v>
      </c>
      <c r="V151" s="1220">
        <f>'0 Úvod'!$L$73</f>
        <v>0.025</v>
      </c>
      <c r="W151" s="1220">
        <f>'0 Úvod'!$M$73</f>
        <v>0.01</v>
      </c>
      <c r="X151" s="1220">
        <f>'0 Úvod'!$M$73</f>
        <v>0.01</v>
      </c>
      <c r="Y151" s="1220">
        <f>'0 Úvod'!$M$73</f>
        <v>0.01</v>
      </c>
      <c r="Z151" s="1220">
        <f>'0 Úvod'!$M$73</f>
        <v>0.01</v>
      </c>
      <c r="AA151" s="1220">
        <f>'0 Úvod'!$M$73</f>
        <v>0.01</v>
      </c>
      <c r="AB151" s="1220">
        <f>'0 Úvod'!$M$73</f>
        <v>0.01</v>
      </c>
      <c r="AC151" s="1238">
        <f>'0 Úvod'!$M$73</f>
        <v>0.01</v>
      </c>
    </row>
    <row r="152" spans="1:29" ht="12">
      <c r="A152" s="49"/>
      <c r="B152" s="1403" t="str">
        <f>IF('0 Úvod'!$M$3="English",Slovnik!D238,Slovnik!C238)</f>
        <v>Osobní 
říční</v>
      </c>
      <c r="C152" s="763" t="str">
        <f>C79</f>
        <v>Nehody</v>
      </c>
      <c r="D152" s="764"/>
      <c r="E152" s="94">
        <f aca="true" t="shared" si="90" ref="E152:G167">F152/(1+F$151)</f>
        <v>0</v>
      </c>
      <c r="F152" s="94">
        <f t="shared" si="90"/>
        <v>0</v>
      </c>
      <c r="G152" s="94">
        <f t="shared" si="90"/>
        <v>0</v>
      </c>
      <c r="H152" s="94">
        <f>I152/(1+I$151)</f>
        <v>0</v>
      </c>
      <c r="I152" s="94">
        <v>0</v>
      </c>
      <c r="J152" s="94">
        <f aca="true" t="shared" si="91" ref="J152:AC152">I152*(1+J$151)</f>
        <v>0</v>
      </c>
      <c r="K152" s="94">
        <f t="shared" si="91"/>
        <v>0</v>
      </c>
      <c r="L152" s="94">
        <f t="shared" si="91"/>
        <v>0</v>
      </c>
      <c r="M152" s="94">
        <f t="shared" si="91"/>
        <v>0</v>
      </c>
      <c r="N152" s="94">
        <f t="shared" si="91"/>
        <v>0</v>
      </c>
      <c r="O152" s="94">
        <f t="shared" si="91"/>
        <v>0</v>
      </c>
      <c r="P152" s="94">
        <f t="shared" si="91"/>
        <v>0</v>
      </c>
      <c r="Q152" s="94">
        <f t="shared" si="91"/>
        <v>0</v>
      </c>
      <c r="R152" s="94">
        <f t="shared" si="91"/>
        <v>0</v>
      </c>
      <c r="S152" s="94">
        <f t="shared" si="91"/>
        <v>0</v>
      </c>
      <c r="T152" s="94">
        <f t="shared" si="91"/>
        <v>0</v>
      </c>
      <c r="U152" s="94">
        <f t="shared" si="91"/>
        <v>0</v>
      </c>
      <c r="V152" s="94">
        <f t="shared" si="91"/>
        <v>0</v>
      </c>
      <c r="W152" s="94">
        <f t="shared" si="91"/>
        <v>0</v>
      </c>
      <c r="X152" s="94">
        <f t="shared" si="91"/>
        <v>0</v>
      </c>
      <c r="Y152" s="94">
        <f t="shared" si="91"/>
        <v>0</v>
      </c>
      <c r="Z152" s="94">
        <f t="shared" si="91"/>
        <v>0</v>
      </c>
      <c r="AA152" s="94">
        <f t="shared" si="91"/>
        <v>0</v>
      </c>
      <c r="AB152" s="94">
        <f t="shared" si="91"/>
        <v>0</v>
      </c>
      <c r="AC152" s="800">
        <f t="shared" si="91"/>
        <v>0</v>
      </c>
    </row>
    <row r="153" spans="1:29" ht="12">
      <c r="A153" s="49"/>
      <c r="B153" s="1404"/>
      <c r="C153" s="763" t="str">
        <f>C80</f>
        <v>Hluk</v>
      </c>
      <c r="D153" s="764"/>
      <c r="E153" s="94">
        <f t="shared" si="90"/>
        <v>0</v>
      </c>
      <c r="F153" s="94">
        <f t="shared" si="90"/>
        <v>0</v>
      </c>
      <c r="G153" s="94">
        <f t="shared" si="90"/>
        <v>0</v>
      </c>
      <c r="H153" s="94">
        <f aca="true" t="shared" si="92" ref="H153:H175">I153/(1+I$151)</f>
        <v>0</v>
      </c>
      <c r="I153" s="94">
        <v>0</v>
      </c>
      <c r="J153" s="94">
        <f aca="true" t="shared" si="93" ref="J153:AC153">I153*(1+J$151)</f>
        <v>0</v>
      </c>
      <c r="K153" s="94">
        <f t="shared" si="93"/>
        <v>0</v>
      </c>
      <c r="L153" s="94">
        <f t="shared" si="93"/>
        <v>0</v>
      </c>
      <c r="M153" s="94">
        <f t="shared" si="93"/>
        <v>0</v>
      </c>
      <c r="N153" s="94">
        <f t="shared" si="93"/>
        <v>0</v>
      </c>
      <c r="O153" s="94">
        <f t="shared" si="93"/>
        <v>0</v>
      </c>
      <c r="P153" s="94">
        <f t="shared" si="93"/>
        <v>0</v>
      </c>
      <c r="Q153" s="94">
        <f t="shared" si="93"/>
        <v>0</v>
      </c>
      <c r="R153" s="94">
        <f t="shared" si="93"/>
        <v>0</v>
      </c>
      <c r="S153" s="94">
        <f t="shared" si="93"/>
        <v>0</v>
      </c>
      <c r="T153" s="94">
        <f t="shared" si="93"/>
        <v>0</v>
      </c>
      <c r="U153" s="94">
        <f t="shared" si="93"/>
        <v>0</v>
      </c>
      <c r="V153" s="94">
        <f t="shared" si="93"/>
        <v>0</v>
      </c>
      <c r="W153" s="94">
        <f t="shared" si="93"/>
        <v>0</v>
      </c>
      <c r="X153" s="94">
        <f t="shared" si="93"/>
        <v>0</v>
      </c>
      <c r="Y153" s="94">
        <f t="shared" si="93"/>
        <v>0</v>
      </c>
      <c r="Z153" s="94">
        <f t="shared" si="93"/>
        <v>0</v>
      </c>
      <c r="AA153" s="94">
        <f t="shared" si="93"/>
        <v>0</v>
      </c>
      <c r="AB153" s="94">
        <f t="shared" si="93"/>
        <v>0</v>
      </c>
      <c r="AC153" s="430">
        <f t="shared" si="93"/>
        <v>0</v>
      </c>
    </row>
    <row r="154" spans="1:29" ht="12">
      <c r="A154" s="49"/>
      <c r="B154" s="1404"/>
      <c r="C154" s="763" t="str">
        <f>C81</f>
        <v>Znečištění ovzduší</v>
      </c>
      <c r="D154" s="764"/>
      <c r="E154" s="94">
        <f t="shared" si="90"/>
        <v>0</v>
      </c>
      <c r="F154" s="94">
        <f t="shared" si="90"/>
        <v>0</v>
      </c>
      <c r="G154" s="94">
        <f t="shared" si="90"/>
        <v>0</v>
      </c>
      <c r="H154" s="94">
        <f t="shared" si="92"/>
        <v>0</v>
      </c>
      <c r="I154" s="94">
        <v>0</v>
      </c>
      <c r="J154" s="94">
        <f aca="true" t="shared" si="94" ref="J154:AC154">I154*(1+J$151)</f>
        <v>0</v>
      </c>
      <c r="K154" s="94">
        <f t="shared" si="94"/>
        <v>0</v>
      </c>
      <c r="L154" s="94">
        <f t="shared" si="94"/>
        <v>0</v>
      </c>
      <c r="M154" s="94">
        <f t="shared" si="94"/>
        <v>0</v>
      </c>
      <c r="N154" s="94">
        <f t="shared" si="94"/>
        <v>0</v>
      </c>
      <c r="O154" s="94">
        <f t="shared" si="94"/>
        <v>0</v>
      </c>
      <c r="P154" s="94">
        <f t="shared" si="94"/>
        <v>0</v>
      </c>
      <c r="Q154" s="94">
        <f t="shared" si="94"/>
        <v>0</v>
      </c>
      <c r="R154" s="94">
        <f t="shared" si="94"/>
        <v>0</v>
      </c>
      <c r="S154" s="94">
        <f t="shared" si="94"/>
        <v>0</v>
      </c>
      <c r="T154" s="94">
        <f t="shared" si="94"/>
        <v>0</v>
      </c>
      <c r="U154" s="94">
        <f t="shared" si="94"/>
        <v>0</v>
      </c>
      <c r="V154" s="94">
        <f t="shared" si="94"/>
        <v>0</v>
      </c>
      <c r="W154" s="94">
        <f t="shared" si="94"/>
        <v>0</v>
      </c>
      <c r="X154" s="94">
        <f t="shared" si="94"/>
        <v>0</v>
      </c>
      <c r="Y154" s="94">
        <f t="shared" si="94"/>
        <v>0</v>
      </c>
      <c r="Z154" s="94">
        <f t="shared" si="94"/>
        <v>0</v>
      </c>
      <c r="AA154" s="94">
        <f t="shared" si="94"/>
        <v>0</v>
      </c>
      <c r="AB154" s="94">
        <f t="shared" si="94"/>
        <v>0</v>
      </c>
      <c r="AC154" s="430">
        <f t="shared" si="94"/>
        <v>0</v>
      </c>
    </row>
    <row r="155" spans="1:29" ht="12">
      <c r="A155" s="49"/>
      <c r="B155" s="1405"/>
      <c r="C155" s="770" t="str">
        <f>C82</f>
        <v>Klimatické změny</v>
      </c>
      <c r="D155" s="771"/>
      <c r="E155" s="471">
        <f t="shared" si="90"/>
        <v>0</v>
      </c>
      <c r="F155" s="471">
        <f t="shared" si="90"/>
        <v>0</v>
      </c>
      <c r="G155" s="471">
        <f t="shared" si="90"/>
        <v>0</v>
      </c>
      <c r="H155" s="471">
        <f t="shared" si="92"/>
        <v>0</v>
      </c>
      <c r="I155" s="471">
        <v>0</v>
      </c>
      <c r="J155" s="471">
        <f aca="true" t="shared" si="95" ref="J155:AC155">I155*(1+J$151)</f>
        <v>0</v>
      </c>
      <c r="K155" s="471">
        <f t="shared" si="95"/>
        <v>0</v>
      </c>
      <c r="L155" s="471">
        <f t="shared" si="95"/>
        <v>0</v>
      </c>
      <c r="M155" s="471">
        <f t="shared" si="95"/>
        <v>0</v>
      </c>
      <c r="N155" s="471">
        <f t="shared" si="95"/>
        <v>0</v>
      </c>
      <c r="O155" s="471">
        <f t="shared" si="95"/>
        <v>0</v>
      </c>
      <c r="P155" s="471">
        <f t="shared" si="95"/>
        <v>0</v>
      </c>
      <c r="Q155" s="471">
        <f t="shared" si="95"/>
        <v>0</v>
      </c>
      <c r="R155" s="471">
        <f t="shared" si="95"/>
        <v>0</v>
      </c>
      <c r="S155" s="471">
        <f t="shared" si="95"/>
        <v>0</v>
      </c>
      <c r="T155" s="471">
        <f t="shared" si="95"/>
        <v>0</v>
      </c>
      <c r="U155" s="471">
        <f t="shared" si="95"/>
        <v>0</v>
      </c>
      <c r="V155" s="471">
        <f t="shared" si="95"/>
        <v>0</v>
      </c>
      <c r="W155" s="471">
        <f t="shared" si="95"/>
        <v>0</v>
      </c>
      <c r="X155" s="471">
        <f t="shared" si="95"/>
        <v>0</v>
      </c>
      <c r="Y155" s="471">
        <f t="shared" si="95"/>
        <v>0</v>
      </c>
      <c r="Z155" s="471">
        <f t="shared" si="95"/>
        <v>0</v>
      </c>
      <c r="AA155" s="471">
        <f t="shared" si="95"/>
        <v>0</v>
      </c>
      <c r="AB155" s="471">
        <f t="shared" si="95"/>
        <v>0</v>
      </c>
      <c r="AC155" s="472">
        <f t="shared" si="95"/>
        <v>0</v>
      </c>
    </row>
    <row r="156" spans="1:29" ht="12" customHeight="1">
      <c r="A156" s="49"/>
      <c r="B156" s="1409" t="str">
        <f>IF('0 Úvod'!$M$3="English",Slovnik!D239,Slovnik!C239)</f>
        <v>Nákladní říční</v>
      </c>
      <c r="C156" s="763" t="str">
        <f>C93</f>
        <v>Nehody</v>
      </c>
      <c r="D156" s="764"/>
      <c r="E156" s="94">
        <f t="shared" si="90"/>
        <v>0</v>
      </c>
      <c r="F156" s="94">
        <f t="shared" si="90"/>
        <v>0</v>
      </c>
      <c r="G156" s="94">
        <f t="shared" si="90"/>
        <v>0</v>
      </c>
      <c r="H156" s="94">
        <f t="shared" si="92"/>
        <v>0</v>
      </c>
      <c r="I156" s="94">
        <f>G99/1000</f>
        <v>0</v>
      </c>
      <c r="J156" s="94">
        <f aca="true" t="shared" si="96" ref="J156:AC156">I156*(1+J$151)</f>
        <v>0</v>
      </c>
      <c r="K156" s="94">
        <f t="shared" si="96"/>
        <v>0</v>
      </c>
      <c r="L156" s="94">
        <f t="shared" si="96"/>
        <v>0</v>
      </c>
      <c r="M156" s="94">
        <f t="shared" si="96"/>
        <v>0</v>
      </c>
      <c r="N156" s="94">
        <f t="shared" si="96"/>
        <v>0</v>
      </c>
      <c r="O156" s="94">
        <f t="shared" si="96"/>
        <v>0</v>
      </c>
      <c r="P156" s="94">
        <f t="shared" si="96"/>
        <v>0</v>
      </c>
      <c r="Q156" s="94">
        <f t="shared" si="96"/>
        <v>0</v>
      </c>
      <c r="R156" s="94">
        <f t="shared" si="96"/>
        <v>0</v>
      </c>
      <c r="S156" s="94">
        <f t="shared" si="96"/>
        <v>0</v>
      </c>
      <c r="T156" s="94">
        <f t="shared" si="96"/>
        <v>0</v>
      </c>
      <c r="U156" s="94">
        <f t="shared" si="96"/>
        <v>0</v>
      </c>
      <c r="V156" s="94">
        <f t="shared" si="96"/>
        <v>0</v>
      </c>
      <c r="W156" s="94">
        <f t="shared" si="96"/>
        <v>0</v>
      </c>
      <c r="X156" s="94">
        <f t="shared" si="96"/>
        <v>0</v>
      </c>
      <c r="Y156" s="94">
        <f t="shared" si="96"/>
        <v>0</v>
      </c>
      <c r="Z156" s="94">
        <f t="shared" si="96"/>
        <v>0</v>
      </c>
      <c r="AA156" s="94">
        <f t="shared" si="96"/>
        <v>0</v>
      </c>
      <c r="AB156" s="94">
        <f t="shared" si="96"/>
        <v>0</v>
      </c>
      <c r="AC156" s="430">
        <f t="shared" si="96"/>
        <v>0</v>
      </c>
    </row>
    <row r="157" spans="1:29" ht="12">
      <c r="A157" s="49"/>
      <c r="B157" s="1406"/>
      <c r="C157" s="763" t="str">
        <f>C94</f>
        <v>Hluk</v>
      </c>
      <c r="D157" s="764"/>
      <c r="E157" s="1024">
        <f t="shared" si="90"/>
        <v>0</v>
      </c>
      <c r="F157" s="1024">
        <f t="shared" si="90"/>
        <v>0</v>
      </c>
      <c r="G157" s="1024">
        <f t="shared" si="90"/>
        <v>0</v>
      </c>
      <c r="H157" s="1024">
        <f t="shared" si="92"/>
        <v>0</v>
      </c>
      <c r="I157" s="1024">
        <f>G100/1000</f>
        <v>0</v>
      </c>
      <c r="J157" s="1024">
        <f aca="true" t="shared" si="97" ref="J157:AC157">I157*(1+J$151)</f>
        <v>0</v>
      </c>
      <c r="K157" s="1024">
        <f t="shared" si="97"/>
        <v>0</v>
      </c>
      <c r="L157" s="1024">
        <f t="shared" si="97"/>
        <v>0</v>
      </c>
      <c r="M157" s="1024">
        <f t="shared" si="97"/>
        <v>0</v>
      </c>
      <c r="N157" s="1024">
        <f t="shared" si="97"/>
        <v>0</v>
      </c>
      <c r="O157" s="1024">
        <f t="shared" si="97"/>
        <v>0</v>
      </c>
      <c r="P157" s="1024">
        <f t="shared" si="97"/>
        <v>0</v>
      </c>
      <c r="Q157" s="1024">
        <f t="shared" si="97"/>
        <v>0</v>
      </c>
      <c r="R157" s="1024">
        <f t="shared" si="97"/>
        <v>0</v>
      </c>
      <c r="S157" s="1024">
        <f t="shared" si="97"/>
        <v>0</v>
      </c>
      <c r="T157" s="1024">
        <f t="shared" si="97"/>
        <v>0</v>
      </c>
      <c r="U157" s="1024">
        <f t="shared" si="97"/>
        <v>0</v>
      </c>
      <c r="V157" s="1024">
        <f t="shared" si="97"/>
        <v>0</v>
      </c>
      <c r="W157" s="1024">
        <f t="shared" si="97"/>
        <v>0</v>
      </c>
      <c r="X157" s="1024">
        <f t="shared" si="97"/>
        <v>0</v>
      </c>
      <c r="Y157" s="1024">
        <f t="shared" si="97"/>
        <v>0</v>
      </c>
      <c r="Z157" s="1024">
        <f t="shared" si="97"/>
        <v>0</v>
      </c>
      <c r="AA157" s="1024">
        <f t="shared" si="97"/>
        <v>0</v>
      </c>
      <c r="AB157" s="1024">
        <f t="shared" si="97"/>
        <v>0</v>
      </c>
      <c r="AC157" s="1025">
        <f t="shared" si="97"/>
        <v>0</v>
      </c>
    </row>
    <row r="158" spans="1:29" ht="12">
      <c r="A158" s="49"/>
      <c r="B158" s="1406"/>
      <c r="C158" s="763" t="str">
        <f>C95</f>
        <v>Znečištění ovzduší</v>
      </c>
      <c r="D158" s="764"/>
      <c r="E158" s="1026">
        <f t="shared" si="90"/>
        <v>0.41243705017164156</v>
      </c>
      <c r="F158" s="1026">
        <f t="shared" si="90"/>
        <v>0.4198609170747311</v>
      </c>
      <c r="G158" s="1026">
        <f t="shared" si="90"/>
        <v>0.4299375790845247</v>
      </c>
      <c r="H158" s="1026">
        <f t="shared" si="92"/>
        <v>0.4415458937198068</v>
      </c>
      <c r="I158" s="1026">
        <f>G101/1000</f>
        <v>0.457</v>
      </c>
      <c r="J158" s="1026">
        <f aca="true" t="shared" si="98" ref="J158:AC158">I158*(1+J$151)</f>
        <v>0.472995</v>
      </c>
      <c r="K158" s="1026">
        <f t="shared" si="98"/>
        <v>0.48954982499999994</v>
      </c>
      <c r="L158" s="1026">
        <f t="shared" si="98"/>
        <v>0.5042363197499999</v>
      </c>
      <c r="M158" s="1026">
        <f t="shared" si="98"/>
        <v>0.5168422277437499</v>
      </c>
      <c r="N158" s="1026">
        <f t="shared" si="98"/>
        <v>0.5297632834373436</v>
      </c>
      <c r="O158" s="1026">
        <f t="shared" si="98"/>
        <v>0.5430073655232771</v>
      </c>
      <c r="P158" s="1026">
        <f t="shared" si="98"/>
        <v>0.556582549661359</v>
      </c>
      <c r="Q158" s="1026">
        <f t="shared" si="98"/>
        <v>0.5704971134028929</v>
      </c>
      <c r="R158" s="1026">
        <f t="shared" si="98"/>
        <v>0.5847595412379651</v>
      </c>
      <c r="S158" s="1026">
        <f t="shared" si="98"/>
        <v>0.5993785297689143</v>
      </c>
      <c r="T158" s="1026">
        <f t="shared" si="98"/>
        <v>0.614362993013137</v>
      </c>
      <c r="U158" s="1026">
        <f t="shared" si="98"/>
        <v>0.6297220678384654</v>
      </c>
      <c r="V158" s="1026">
        <f t="shared" si="98"/>
        <v>0.645465119534427</v>
      </c>
      <c r="W158" s="1026">
        <f t="shared" si="98"/>
        <v>0.6519197707297713</v>
      </c>
      <c r="X158" s="1026">
        <f t="shared" si="98"/>
        <v>0.658438968437069</v>
      </c>
      <c r="Y158" s="1026">
        <f t="shared" si="98"/>
        <v>0.6650233581214396</v>
      </c>
      <c r="Z158" s="1026">
        <f t="shared" si="98"/>
        <v>0.6716735917026541</v>
      </c>
      <c r="AA158" s="1026">
        <f t="shared" si="98"/>
        <v>0.6783903276196807</v>
      </c>
      <c r="AB158" s="1026">
        <f t="shared" si="98"/>
        <v>0.6851742308958775</v>
      </c>
      <c r="AC158" s="1027">
        <f t="shared" si="98"/>
        <v>0.6920259732048363</v>
      </c>
    </row>
    <row r="159" spans="1:29" ht="12.75" thickBot="1">
      <c r="A159" s="49"/>
      <c r="B159" s="1410"/>
      <c r="C159" s="765" t="str">
        <f>C96</f>
        <v>Klimatické změny</v>
      </c>
      <c r="D159" s="766"/>
      <c r="E159" s="1028">
        <f t="shared" si="90"/>
        <v>0.1786926388052189</v>
      </c>
      <c r="F159" s="1028">
        <f t="shared" si="90"/>
        <v>0.18190910630371285</v>
      </c>
      <c r="G159" s="1028">
        <f t="shared" si="90"/>
        <v>0.18627492485500197</v>
      </c>
      <c r="H159" s="1028">
        <f t="shared" si="92"/>
        <v>0.191304347826087</v>
      </c>
      <c r="I159" s="1028">
        <f>G102/1000</f>
        <v>0.198</v>
      </c>
      <c r="J159" s="1028">
        <f aca="true" t="shared" si="99" ref="J159:AC159">I159*(1+J$151)</f>
        <v>0.20493</v>
      </c>
      <c r="K159" s="1028">
        <f t="shared" si="99"/>
        <v>0.21210254999999997</v>
      </c>
      <c r="L159" s="1028">
        <f t="shared" si="99"/>
        <v>0.21846562649999998</v>
      </c>
      <c r="M159" s="1028">
        <f t="shared" si="99"/>
        <v>0.22392726716249997</v>
      </c>
      <c r="N159" s="1028">
        <f t="shared" si="99"/>
        <v>0.22952544884156245</v>
      </c>
      <c r="O159" s="1028">
        <f t="shared" si="99"/>
        <v>0.2352635850626015</v>
      </c>
      <c r="P159" s="1028">
        <f t="shared" si="99"/>
        <v>0.24114517468916652</v>
      </c>
      <c r="Q159" s="1028">
        <f t="shared" si="99"/>
        <v>0.24717380405639566</v>
      </c>
      <c r="R159" s="1028">
        <f t="shared" si="99"/>
        <v>0.25335314915780555</v>
      </c>
      <c r="S159" s="1028">
        <f t="shared" si="99"/>
        <v>0.25968697788675066</v>
      </c>
      <c r="T159" s="1028">
        <f t="shared" si="99"/>
        <v>0.2661791523339194</v>
      </c>
      <c r="U159" s="1028">
        <f t="shared" si="99"/>
        <v>0.2728336311422674</v>
      </c>
      <c r="V159" s="1028">
        <f t="shared" si="99"/>
        <v>0.27965447192082404</v>
      </c>
      <c r="W159" s="1028">
        <f t="shared" si="99"/>
        <v>0.2824510166400323</v>
      </c>
      <c r="X159" s="1028">
        <f t="shared" si="99"/>
        <v>0.28527552680643264</v>
      </c>
      <c r="Y159" s="1028">
        <f t="shared" si="99"/>
        <v>0.288128282074497</v>
      </c>
      <c r="Z159" s="1028">
        <f t="shared" si="99"/>
        <v>0.29100956489524193</v>
      </c>
      <c r="AA159" s="1028">
        <f t="shared" si="99"/>
        <v>0.2939196605441944</v>
      </c>
      <c r="AB159" s="1028">
        <f t="shared" si="99"/>
        <v>0.29685885714963633</v>
      </c>
      <c r="AC159" s="1029">
        <f t="shared" si="99"/>
        <v>0.2998274457211327</v>
      </c>
    </row>
    <row r="160" spans="1:29" ht="12" customHeight="1">
      <c r="A160" s="49"/>
      <c r="B160" s="1403" t="str">
        <f>IF('0 Úvod'!$M$3="English",Slovnik!D240,Slovnik!C240)</f>
        <v>Osobní silniční</v>
      </c>
      <c r="C160" s="763" t="str">
        <f aca="true" t="shared" si="100" ref="C160:C175">C152</f>
        <v>Nehody</v>
      </c>
      <c r="D160" s="764"/>
      <c r="E160" s="1026">
        <f t="shared" si="90"/>
        <v>1.5315222628911942</v>
      </c>
      <c r="F160" s="1026">
        <f t="shared" si="90"/>
        <v>1.5590896636232356</v>
      </c>
      <c r="G160" s="1026">
        <f t="shared" si="90"/>
        <v>1.5965078155501933</v>
      </c>
      <c r="H160" s="1026">
        <f t="shared" si="92"/>
        <v>1.6396135265700484</v>
      </c>
      <c r="I160" s="1026">
        <f>D93/1000</f>
        <v>1.697</v>
      </c>
      <c r="J160" s="1026">
        <f aca="true" t="shared" si="101" ref="J160:AC160">I160*(1+J$151)</f>
        <v>1.756395</v>
      </c>
      <c r="K160" s="1026">
        <f t="shared" si="101"/>
        <v>1.8178688249999997</v>
      </c>
      <c r="L160" s="1026">
        <f t="shared" si="101"/>
        <v>1.8724048897499996</v>
      </c>
      <c r="M160" s="1026">
        <f t="shared" si="101"/>
        <v>1.9192150119937494</v>
      </c>
      <c r="N160" s="1026">
        <f t="shared" si="101"/>
        <v>1.967195387293593</v>
      </c>
      <c r="O160" s="1026">
        <f t="shared" si="101"/>
        <v>2.0163752719759325</v>
      </c>
      <c r="P160" s="1026">
        <f t="shared" si="101"/>
        <v>2.0667846537753305</v>
      </c>
      <c r="Q160" s="1026">
        <f t="shared" si="101"/>
        <v>2.1184542701197135</v>
      </c>
      <c r="R160" s="1026">
        <f t="shared" si="101"/>
        <v>2.1714156268727063</v>
      </c>
      <c r="S160" s="1026">
        <f t="shared" si="101"/>
        <v>2.2257010175445235</v>
      </c>
      <c r="T160" s="1026">
        <f t="shared" si="101"/>
        <v>2.2813435429831364</v>
      </c>
      <c r="U160" s="1026">
        <f t="shared" si="101"/>
        <v>2.3383771315577144</v>
      </c>
      <c r="V160" s="1026">
        <f t="shared" si="101"/>
        <v>2.396836559846657</v>
      </c>
      <c r="W160" s="1026">
        <f t="shared" si="101"/>
        <v>2.4208049254451236</v>
      </c>
      <c r="X160" s="1026">
        <f t="shared" si="101"/>
        <v>2.445012974699575</v>
      </c>
      <c r="Y160" s="1026">
        <f t="shared" si="101"/>
        <v>2.4694631044465707</v>
      </c>
      <c r="Z160" s="1026">
        <f t="shared" si="101"/>
        <v>2.4941577354910365</v>
      </c>
      <c r="AA160" s="1026">
        <f t="shared" si="101"/>
        <v>2.5190993128459467</v>
      </c>
      <c r="AB160" s="1026">
        <f t="shared" si="101"/>
        <v>2.544290305974406</v>
      </c>
      <c r="AC160" s="1027">
        <f t="shared" si="101"/>
        <v>2.5697332090341503</v>
      </c>
    </row>
    <row r="161" spans="1:29" ht="12">
      <c r="A161" s="49"/>
      <c r="B161" s="1404"/>
      <c r="C161" s="763" t="str">
        <f t="shared" si="100"/>
        <v>Hluk</v>
      </c>
      <c r="D161" s="764"/>
      <c r="E161" s="1026">
        <f t="shared" si="90"/>
        <v>0.242769292114161</v>
      </c>
      <c r="F161" s="1026">
        <f t="shared" si="90"/>
        <v>0.2471391393722159</v>
      </c>
      <c r="G161" s="1026">
        <f t="shared" si="90"/>
        <v>0.2530704787171491</v>
      </c>
      <c r="H161" s="1026">
        <f t="shared" si="92"/>
        <v>0.2599033816425121</v>
      </c>
      <c r="I161" s="1026">
        <f>D94/1000</f>
        <v>0.269</v>
      </c>
      <c r="J161" s="1026">
        <f aca="true" t="shared" si="102" ref="J161:AC161">I161*(1+J$151)</f>
        <v>0.278415</v>
      </c>
      <c r="K161" s="1026">
        <f t="shared" si="102"/>
        <v>0.288159525</v>
      </c>
      <c r="L161" s="1026">
        <f t="shared" si="102"/>
        <v>0.29680431075</v>
      </c>
      <c r="M161" s="1026">
        <f t="shared" si="102"/>
        <v>0.30422441851875</v>
      </c>
      <c r="N161" s="1026">
        <f t="shared" si="102"/>
        <v>0.3118300289817187</v>
      </c>
      <c r="O161" s="1026">
        <f t="shared" si="102"/>
        <v>0.3196257797062616</v>
      </c>
      <c r="P161" s="1026">
        <f t="shared" si="102"/>
        <v>0.3276164241989181</v>
      </c>
      <c r="Q161" s="1026">
        <f t="shared" si="102"/>
        <v>0.33580683480389106</v>
      </c>
      <c r="R161" s="1026">
        <f t="shared" si="102"/>
        <v>0.3442020056739883</v>
      </c>
      <c r="S161" s="1026">
        <f t="shared" si="102"/>
        <v>0.352807055815838</v>
      </c>
      <c r="T161" s="1026">
        <f t="shared" si="102"/>
        <v>0.3616272322112339</v>
      </c>
      <c r="U161" s="1026">
        <f t="shared" si="102"/>
        <v>0.3706679130165147</v>
      </c>
      <c r="V161" s="1026">
        <f t="shared" si="102"/>
        <v>0.37993461084192753</v>
      </c>
      <c r="W161" s="1026">
        <f t="shared" si="102"/>
        <v>0.3837339569503468</v>
      </c>
      <c r="X161" s="1026">
        <f t="shared" si="102"/>
        <v>0.3875712965198503</v>
      </c>
      <c r="Y161" s="1026">
        <f t="shared" si="102"/>
        <v>0.3914470094850488</v>
      </c>
      <c r="Z161" s="1026">
        <f t="shared" si="102"/>
        <v>0.39536147957989926</v>
      </c>
      <c r="AA161" s="1026">
        <f t="shared" si="102"/>
        <v>0.39931509437569823</v>
      </c>
      <c r="AB161" s="1026">
        <f t="shared" si="102"/>
        <v>0.4033082453194552</v>
      </c>
      <c r="AC161" s="1027">
        <f t="shared" si="102"/>
        <v>0.40734132777264975</v>
      </c>
    </row>
    <row r="162" spans="1:29" ht="12">
      <c r="A162" s="49"/>
      <c r="B162" s="1404"/>
      <c r="C162" s="763" t="str">
        <f t="shared" si="100"/>
        <v>Znečištění ovzduší</v>
      </c>
      <c r="D162" s="764"/>
      <c r="E162" s="1026">
        <f t="shared" si="90"/>
        <v>0.7364302690154475</v>
      </c>
      <c r="F162" s="1026">
        <f t="shared" si="90"/>
        <v>0.7496860138577256</v>
      </c>
      <c r="G162" s="1026">
        <f t="shared" si="90"/>
        <v>0.767678478190311</v>
      </c>
      <c r="H162" s="1026">
        <f t="shared" si="92"/>
        <v>0.7884057971014493</v>
      </c>
      <c r="I162" s="1026">
        <f>D95/1000</f>
        <v>0.816</v>
      </c>
      <c r="J162" s="1026">
        <f aca="true" t="shared" si="103" ref="J162:AC162">I162*(1+J$151)</f>
        <v>0.8445599999999999</v>
      </c>
      <c r="K162" s="1026">
        <f t="shared" si="103"/>
        <v>0.8741195999999998</v>
      </c>
      <c r="L162" s="1026">
        <f t="shared" si="103"/>
        <v>0.9003431879999998</v>
      </c>
      <c r="M162" s="1026">
        <f t="shared" si="103"/>
        <v>0.9228517676999997</v>
      </c>
      <c r="N162" s="1026">
        <f t="shared" si="103"/>
        <v>0.9459230618924995</v>
      </c>
      <c r="O162" s="1026">
        <f t="shared" si="103"/>
        <v>0.9695711384398119</v>
      </c>
      <c r="P162" s="1026">
        <f t="shared" si="103"/>
        <v>0.9938104169008071</v>
      </c>
      <c r="Q162" s="1026">
        <f t="shared" si="103"/>
        <v>1.018655677323327</v>
      </c>
      <c r="R162" s="1026">
        <f t="shared" si="103"/>
        <v>1.0441220692564102</v>
      </c>
      <c r="S162" s="1026">
        <f t="shared" si="103"/>
        <v>1.0702251209878204</v>
      </c>
      <c r="T162" s="1026">
        <f t="shared" si="103"/>
        <v>1.0969807490125159</v>
      </c>
      <c r="U162" s="1026">
        <f t="shared" si="103"/>
        <v>1.1244052677378287</v>
      </c>
      <c r="V162" s="1026">
        <f t="shared" si="103"/>
        <v>1.1525153994312742</v>
      </c>
      <c r="W162" s="1026">
        <f t="shared" si="103"/>
        <v>1.1640405534255869</v>
      </c>
      <c r="X162" s="1026">
        <f t="shared" si="103"/>
        <v>1.1756809589598427</v>
      </c>
      <c r="Y162" s="1026">
        <f t="shared" si="103"/>
        <v>1.187437768549441</v>
      </c>
      <c r="Z162" s="1026">
        <f t="shared" si="103"/>
        <v>1.1993121462349354</v>
      </c>
      <c r="AA162" s="1026">
        <f t="shared" si="103"/>
        <v>1.2113052676972849</v>
      </c>
      <c r="AB162" s="1026">
        <f t="shared" si="103"/>
        <v>1.2234183203742577</v>
      </c>
      <c r="AC162" s="1027">
        <f t="shared" si="103"/>
        <v>1.2356525035780002</v>
      </c>
    </row>
    <row r="163" spans="1:29" ht="12">
      <c r="A163" s="49"/>
      <c r="B163" s="1405"/>
      <c r="C163" s="770" t="str">
        <f t="shared" si="100"/>
        <v>Klimatické změny</v>
      </c>
      <c r="D163" s="771"/>
      <c r="E163" s="1030">
        <f t="shared" si="90"/>
        <v>0.6768660560803746</v>
      </c>
      <c r="F163" s="1030">
        <f t="shared" si="90"/>
        <v>0.6890496450898214</v>
      </c>
      <c r="G163" s="1030">
        <f t="shared" si="90"/>
        <v>0.7055868365719771</v>
      </c>
      <c r="H163" s="1030">
        <f t="shared" si="92"/>
        <v>0.7246376811594204</v>
      </c>
      <c r="I163" s="1030">
        <f>D96/1000</f>
        <v>0.75</v>
      </c>
      <c r="J163" s="1030">
        <f aca="true" t="shared" si="104" ref="J163:AC163">I163*(1+J$151)</f>
        <v>0.7762499999999999</v>
      </c>
      <c r="K163" s="1030">
        <f t="shared" si="104"/>
        <v>0.8034187499999998</v>
      </c>
      <c r="L163" s="1030">
        <f t="shared" si="104"/>
        <v>0.8275213124999998</v>
      </c>
      <c r="M163" s="1030">
        <f t="shared" si="104"/>
        <v>0.8482093453124997</v>
      </c>
      <c r="N163" s="1030">
        <f t="shared" si="104"/>
        <v>0.8694145789453122</v>
      </c>
      <c r="O163" s="1030">
        <f t="shared" si="104"/>
        <v>0.8911499434189449</v>
      </c>
      <c r="P163" s="1030">
        <f t="shared" si="104"/>
        <v>0.9134286920044185</v>
      </c>
      <c r="Q163" s="1030">
        <f t="shared" si="104"/>
        <v>0.9362644093045288</v>
      </c>
      <c r="R163" s="1030">
        <f t="shared" si="104"/>
        <v>0.959671019537142</v>
      </c>
      <c r="S163" s="1030">
        <f t="shared" si="104"/>
        <v>0.9836627950255704</v>
      </c>
      <c r="T163" s="1030">
        <f t="shared" si="104"/>
        <v>1.0082543649012097</v>
      </c>
      <c r="U163" s="1030">
        <f t="shared" si="104"/>
        <v>1.03346072402374</v>
      </c>
      <c r="V163" s="1030">
        <f t="shared" si="104"/>
        <v>1.0592972421243334</v>
      </c>
      <c r="W163" s="1030">
        <f t="shared" si="104"/>
        <v>1.0698902145455766</v>
      </c>
      <c r="X163" s="1030">
        <f t="shared" si="104"/>
        <v>1.0805891166910324</v>
      </c>
      <c r="Y163" s="1030">
        <f t="shared" si="104"/>
        <v>1.0913950078579429</v>
      </c>
      <c r="Z163" s="1030">
        <f t="shared" si="104"/>
        <v>1.1023089579365224</v>
      </c>
      <c r="AA163" s="1030">
        <f t="shared" si="104"/>
        <v>1.1133320475158877</v>
      </c>
      <c r="AB163" s="1030">
        <f t="shared" si="104"/>
        <v>1.1244653679910466</v>
      </c>
      <c r="AC163" s="1031">
        <f t="shared" si="104"/>
        <v>1.135710021670957</v>
      </c>
    </row>
    <row r="164" spans="1:29" ht="12" customHeight="1">
      <c r="A164" s="49"/>
      <c r="B164" s="1409" t="str">
        <f>IF('0 Úvod'!$M$3="English",Slovnik!D241,Slovnik!C241)</f>
        <v>Nákladní silniční</v>
      </c>
      <c r="C164" s="763" t="str">
        <f t="shared" si="100"/>
        <v>Nehody</v>
      </c>
      <c r="D164" s="764"/>
      <c r="E164" s="1026">
        <f t="shared" si="90"/>
        <v>1.8961359284877253</v>
      </c>
      <c r="F164" s="1026">
        <f t="shared" si="90"/>
        <v>1.9302663752005043</v>
      </c>
      <c r="G164" s="1026">
        <f t="shared" si="90"/>
        <v>1.9765927682053164</v>
      </c>
      <c r="H164" s="1026">
        <f t="shared" si="92"/>
        <v>2.02996077294686</v>
      </c>
      <c r="I164" s="1026">
        <f>H99/1000</f>
        <v>2.1010093999999997</v>
      </c>
      <c r="J164" s="1026">
        <f aca="true" t="shared" si="105" ref="J164:AC164">I164*(1+J$151)</f>
        <v>2.1745447289999995</v>
      </c>
      <c r="K164" s="1026">
        <f t="shared" si="105"/>
        <v>2.2506537945149994</v>
      </c>
      <c r="L164" s="1026">
        <f t="shared" si="105"/>
        <v>2.3181734083504493</v>
      </c>
      <c r="M164" s="1026">
        <f t="shared" si="105"/>
        <v>2.37612774355921</v>
      </c>
      <c r="N164" s="1026">
        <f t="shared" si="105"/>
        <v>2.43553093714819</v>
      </c>
      <c r="O164" s="1026">
        <f t="shared" si="105"/>
        <v>2.4964192105768945</v>
      </c>
      <c r="P164" s="1026">
        <f t="shared" si="105"/>
        <v>2.558829690841317</v>
      </c>
      <c r="Q164" s="1026">
        <f t="shared" si="105"/>
        <v>2.6228004331123493</v>
      </c>
      <c r="R164" s="1026">
        <f t="shared" si="105"/>
        <v>2.688370443940158</v>
      </c>
      <c r="S164" s="1026">
        <f t="shared" si="105"/>
        <v>2.7555797050386617</v>
      </c>
      <c r="T164" s="1026">
        <f t="shared" si="105"/>
        <v>2.824469197664628</v>
      </c>
      <c r="U164" s="1026">
        <f t="shared" si="105"/>
        <v>2.8950809276062435</v>
      </c>
      <c r="V164" s="1026">
        <f t="shared" si="105"/>
        <v>2.9674579507963994</v>
      </c>
      <c r="W164" s="1026">
        <f t="shared" si="105"/>
        <v>2.997132530304363</v>
      </c>
      <c r="X164" s="1026">
        <f t="shared" si="105"/>
        <v>3.027103855607407</v>
      </c>
      <c r="Y164" s="1026">
        <f t="shared" si="105"/>
        <v>3.0573748941634813</v>
      </c>
      <c r="Z164" s="1026">
        <f t="shared" si="105"/>
        <v>3.087948643105116</v>
      </c>
      <c r="AA164" s="1026">
        <f t="shared" si="105"/>
        <v>3.1188281295361673</v>
      </c>
      <c r="AB164" s="1026">
        <f t="shared" si="105"/>
        <v>3.150016410831529</v>
      </c>
      <c r="AC164" s="1027">
        <f t="shared" si="105"/>
        <v>3.1815165749398444</v>
      </c>
    </row>
    <row r="165" spans="1:29" ht="12">
      <c r="A165" s="49"/>
      <c r="B165" s="1406"/>
      <c r="C165" s="763" t="str">
        <f t="shared" si="100"/>
        <v>Hluk</v>
      </c>
      <c r="D165" s="764"/>
      <c r="E165" s="1026">
        <f t="shared" si="90"/>
        <v>0.6153012978299505</v>
      </c>
      <c r="F165" s="1026">
        <f t="shared" si="90"/>
        <v>0.6263767211908896</v>
      </c>
      <c r="G165" s="1026">
        <f t="shared" si="90"/>
        <v>0.641409762499471</v>
      </c>
      <c r="H165" s="1026">
        <f t="shared" si="92"/>
        <v>0.6587278260869567</v>
      </c>
      <c r="I165" s="1026">
        <f>H100/1000</f>
        <v>0.6817833000000001</v>
      </c>
      <c r="J165" s="1026">
        <f aca="true" t="shared" si="106" ref="J165:AC165">I165*(1+J$151)</f>
        <v>0.7056457155</v>
      </c>
      <c r="K165" s="1026">
        <f t="shared" si="106"/>
        <v>0.7303433155425</v>
      </c>
      <c r="L165" s="1026">
        <f t="shared" si="106"/>
        <v>0.752253615008775</v>
      </c>
      <c r="M165" s="1026">
        <f t="shared" si="106"/>
        <v>0.7710599553839943</v>
      </c>
      <c r="N165" s="1026">
        <f t="shared" si="106"/>
        <v>0.7903364542685941</v>
      </c>
      <c r="O165" s="1026">
        <f t="shared" si="106"/>
        <v>0.8100948656253089</v>
      </c>
      <c r="P165" s="1026">
        <f t="shared" si="106"/>
        <v>0.8303472372659415</v>
      </c>
      <c r="Q165" s="1026">
        <f t="shared" si="106"/>
        <v>0.85110591819759</v>
      </c>
      <c r="R165" s="1026">
        <f t="shared" si="106"/>
        <v>0.8723835661525297</v>
      </c>
      <c r="S165" s="1026">
        <f t="shared" si="106"/>
        <v>0.8941931553063428</v>
      </c>
      <c r="T165" s="1026">
        <f t="shared" si="106"/>
        <v>0.9165479841890013</v>
      </c>
      <c r="U165" s="1026">
        <f t="shared" si="106"/>
        <v>0.9394616837937263</v>
      </c>
      <c r="V165" s="1026">
        <f t="shared" si="106"/>
        <v>0.9629482258885693</v>
      </c>
      <c r="W165" s="1026">
        <f t="shared" si="106"/>
        <v>0.972577708147455</v>
      </c>
      <c r="X165" s="1026">
        <f t="shared" si="106"/>
        <v>0.9823034852289296</v>
      </c>
      <c r="Y165" s="1026">
        <f t="shared" si="106"/>
        <v>0.9921265200812189</v>
      </c>
      <c r="Z165" s="1026">
        <f t="shared" si="106"/>
        <v>1.002047785282031</v>
      </c>
      <c r="AA165" s="1026">
        <f t="shared" si="106"/>
        <v>1.0120682631348514</v>
      </c>
      <c r="AB165" s="1026">
        <f t="shared" si="106"/>
        <v>1.0221889457662</v>
      </c>
      <c r="AC165" s="1027">
        <f t="shared" si="106"/>
        <v>1.032410835223862</v>
      </c>
    </row>
    <row r="166" spans="1:29" ht="12">
      <c r="A166" s="49"/>
      <c r="B166" s="1406"/>
      <c r="C166" s="763" t="str">
        <f t="shared" si="100"/>
        <v>Znečištění ovzduší</v>
      </c>
      <c r="D166" s="764"/>
      <c r="E166" s="1026">
        <f t="shared" si="90"/>
        <v>2.2579327483052727</v>
      </c>
      <c r="F166" s="1026">
        <f t="shared" si="90"/>
        <v>2.2985755377747674</v>
      </c>
      <c r="G166" s="1026">
        <f t="shared" si="90"/>
        <v>2.353741350681362</v>
      </c>
      <c r="H166" s="1026">
        <f t="shared" si="92"/>
        <v>2.417292367149759</v>
      </c>
      <c r="I166" s="1026">
        <f>H101/1000</f>
        <v>2.5018976000000004</v>
      </c>
      <c r="J166" s="1026">
        <f aca="true" t="shared" si="107" ref="J166:AC166">I166*(1+J$151)</f>
        <v>2.589464016</v>
      </c>
      <c r="K166" s="1026">
        <f t="shared" si="107"/>
        <v>2.6800952565599996</v>
      </c>
      <c r="L166" s="1026">
        <f t="shared" si="107"/>
        <v>2.7604981142567997</v>
      </c>
      <c r="M166" s="1026">
        <f t="shared" si="107"/>
        <v>2.8295105671132195</v>
      </c>
      <c r="N166" s="1026">
        <f t="shared" si="107"/>
        <v>2.9002483312910496</v>
      </c>
      <c r="O166" s="1026">
        <f t="shared" si="107"/>
        <v>2.9727545395733257</v>
      </c>
      <c r="P166" s="1026">
        <f t="shared" si="107"/>
        <v>3.0470734030626585</v>
      </c>
      <c r="Q166" s="1026">
        <f t="shared" si="107"/>
        <v>3.123250238139225</v>
      </c>
      <c r="R166" s="1026">
        <f t="shared" si="107"/>
        <v>3.201331494092705</v>
      </c>
      <c r="S166" s="1026">
        <f t="shared" si="107"/>
        <v>3.2813647814450224</v>
      </c>
      <c r="T166" s="1026">
        <f t="shared" si="107"/>
        <v>3.3633989009811476</v>
      </c>
      <c r="U166" s="1026">
        <f t="shared" si="107"/>
        <v>3.447483873505676</v>
      </c>
      <c r="V166" s="1026">
        <f t="shared" si="107"/>
        <v>3.5336709703433176</v>
      </c>
      <c r="W166" s="1026">
        <f t="shared" si="107"/>
        <v>3.569007680046751</v>
      </c>
      <c r="X166" s="1026">
        <f t="shared" si="107"/>
        <v>3.6046977568472185</v>
      </c>
      <c r="Y166" s="1026">
        <f t="shared" si="107"/>
        <v>3.6407447344156907</v>
      </c>
      <c r="Z166" s="1026">
        <f t="shared" si="107"/>
        <v>3.6771521817598476</v>
      </c>
      <c r="AA166" s="1026">
        <f t="shared" si="107"/>
        <v>3.713923703577446</v>
      </c>
      <c r="AB166" s="1026">
        <f t="shared" si="107"/>
        <v>3.7510629406132203</v>
      </c>
      <c r="AC166" s="1027">
        <f t="shared" si="107"/>
        <v>3.7885735700193526</v>
      </c>
    </row>
    <row r="167" spans="1:29" ht="12.75" thickBot="1">
      <c r="A167" s="49"/>
      <c r="B167" s="1410"/>
      <c r="C167" s="765" t="str">
        <f t="shared" si="100"/>
        <v>Klimatické změny</v>
      </c>
      <c r="D167" s="766"/>
      <c r="E167" s="1028">
        <f t="shared" si="90"/>
        <v>2.3098476528161775</v>
      </c>
      <c r="F167" s="1028">
        <f t="shared" si="90"/>
        <v>2.3514249105668688</v>
      </c>
      <c r="G167" s="1028">
        <f t="shared" si="90"/>
        <v>2.4078591084204737</v>
      </c>
      <c r="H167" s="1028">
        <f t="shared" si="92"/>
        <v>2.472871304347826</v>
      </c>
      <c r="I167" s="1028">
        <f>H102/1000</f>
        <v>2.5594218</v>
      </c>
      <c r="J167" s="1028">
        <f aca="true" t="shared" si="108" ref="J167:AC167">I167*(1+J$151)</f>
        <v>2.6490015629999997</v>
      </c>
      <c r="K167" s="1028">
        <f t="shared" si="108"/>
        <v>2.7417166177049994</v>
      </c>
      <c r="L167" s="1028">
        <f t="shared" si="108"/>
        <v>2.8239681162361494</v>
      </c>
      <c r="M167" s="1028">
        <f t="shared" si="108"/>
        <v>2.8945673191420527</v>
      </c>
      <c r="N167" s="1028">
        <f t="shared" si="108"/>
        <v>2.9669315021206035</v>
      </c>
      <c r="O167" s="1028">
        <f t="shared" si="108"/>
        <v>3.0411047896736183</v>
      </c>
      <c r="P167" s="1028">
        <f t="shared" si="108"/>
        <v>3.1171324094154587</v>
      </c>
      <c r="Q167" s="1028">
        <f t="shared" si="108"/>
        <v>3.195060719650845</v>
      </c>
      <c r="R167" s="1028">
        <f t="shared" si="108"/>
        <v>3.2749372376421158</v>
      </c>
      <c r="S167" s="1028">
        <f t="shared" si="108"/>
        <v>3.3568106685831682</v>
      </c>
      <c r="T167" s="1028">
        <f t="shared" si="108"/>
        <v>3.440730935297747</v>
      </c>
      <c r="U167" s="1028">
        <f t="shared" si="108"/>
        <v>3.5267492086801906</v>
      </c>
      <c r="V167" s="1028">
        <f t="shared" si="108"/>
        <v>3.6149179388971953</v>
      </c>
      <c r="W167" s="1028">
        <f t="shared" si="108"/>
        <v>3.6510671182861674</v>
      </c>
      <c r="X167" s="1028">
        <f t="shared" si="108"/>
        <v>3.687577789469029</v>
      </c>
      <c r="Y167" s="1028">
        <f t="shared" si="108"/>
        <v>3.724453567363719</v>
      </c>
      <c r="Z167" s="1028">
        <f t="shared" si="108"/>
        <v>3.7616981030373564</v>
      </c>
      <c r="AA167" s="1028">
        <f t="shared" si="108"/>
        <v>3.79931508406773</v>
      </c>
      <c r="AB167" s="1028">
        <f t="shared" si="108"/>
        <v>3.8373082349084076</v>
      </c>
      <c r="AC167" s="1029">
        <f t="shared" si="108"/>
        <v>3.8756813172574915</v>
      </c>
    </row>
    <row r="168" spans="1:29" ht="12" customHeight="1">
      <c r="A168" s="49"/>
      <c r="B168" s="1403" t="str">
        <f>IF('0 Úvod'!$M$3="English",Slovnik!D242,Slovnik!C242)</f>
        <v>Osobní železniční</v>
      </c>
      <c r="C168" s="763" t="str">
        <f t="shared" si="100"/>
        <v>Nehody</v>
      </c>
      <c r="D168" s="764"/>
      <c r="E168" s="1026">
        <f aca="true" t="shared" si="109" ref="E168:G175">F168/(1+F$151)</f>
        <v>0.037904499140500966</v>
      </c>
      <c r="F168" s="1026">
        <f t="shared" si="109"/>
        <v>0.03858678012502999</v>
      </c>
      <c r="G168" s="1026">
        <f t="shared" si="109"/>
        <v>0.03951286284803071</v>
      </c>
      <c r="H168" s="1026">
        <f t="shared" si="92"/>
        <v>0.04057971014492754</v>
      </c>
      <c r="I168" s="1026">
        <f>G93/1000</f>
        <v>0.042</v>
      </c>
      <c r="J168" s="1026">
        <f aca="true" t="shared" si="110" ref="J168:AC168">I168*(1+J$151)</f>
        <v>0.04347</v>
      </c>
      <c r="K168" s="1026">
        <f t="shared" si="110"/>
        <v>0.044991449999999995</v>
      </c>
      <c r="L168" s="1026">
        <f t="shared" si="110"/>
        <v>0.046341193499999996</v>
      </c>
      <c r="M168" s="1026">
        <f t="shared" si="110"/>
        <v>0.047499723337499994</v>
      </c>
      <c r="N168" s="1026">
        <f t="shared" si="110"/>
        <v>0.04868721642093749</v>
      </c>
      <c r="O168" s="1026">
        <f t="shared" si="110"/>
        <v>0.049904396831460925</v>
      </c>
      <c r="P168" s="1026">
        <f t="shared" si="110"/>
        <v>0.051152006752247445</v>
      </c>
      <c r="Q168" s="1026">
        <f t="shared" si="110"/>
        <v>0.052430806921053626</v>
      </c>
      <c r="R168" s="1026">
        <f t="shared" si="110"/>
        <v>0.053741577094079965</v>
      </c>
      <c r="S168" s="1026">
        <f t="shared" si="110"/>
        <v>0.05508511652143196</v>
      </c>
      <c r="T168" s="1026">
        <f t="shared" si="110"/>
        <v>0.05646224443446775</v>
      </c>
      <c r="U168" s="1026">
        <f t="shared" si="110"/>
        <v>0.05787380054532944</v>
      </c>
      <c r="V168" s="1026">
        <f t="shared" si="110"/>
        <v>0.059320645558962666</v>
      </c>
      <c r="W168" s="1026">
        <f t="shared" si="110"/>
        <v>0.059913852014552293</v>
      </c>
      <c r="X168" s="1026">
        <f t="shared" si="110"/>
        <v>0.060512990534697816</v>
      </c>
      <c r="Y168" s="1026">
        <f t="shared" si="110"/>
        <v>0.0611181204400448</v>
      </c>
      <c r="Z168" s="1026">
        <f t="shared" si="110"/>
        <v>0.06172930164444525</v>
      </c>
      <c r="AA168" s="1026">
        <f t="shared" si="110"/>
        <v>0.0623465946608897</v>
      </c>
      <c r="AB168" s="1026">
        <f t="shared" si="110"/>
        <v>0.0629700606074986</v>
      </c>
      <c r="AC168" s="1027">
        <f t="shared" si="110"/>
        <v>0.0635997612135736</v>
      </c>
    </row>
    <row r="169" spans="1:29" ht="12">
      <c r="A169" s="49"/>
      <c r="B169" s="1404"/>
      <c r="C169" s="763" t="str">
        <f t="shared" si="100"/>
        <v>Hluk</v>
      </c>
      <c r="D169" s="764"/>
      <c r="E169" s="1026">
        <f t="shared" si="109"/>
        <v>0.16605780575838522</v>
      </c>
      <c r="F169" s="1026">
        <f t="shared" si="109"/>
        <v>0.16904684626203614</v>
      </c>
      <c r="G169" s="1026">
        <f t="shared" si="109"/>
        <v>0.17310397057232502</v>
      </c>
      <c r="H169" s="1026">
        <f t="shared" si="92"/>
        <v>0.17777777777777778</v>
      </c>
      <c r="I169" s="1026">
        <f>G94/1000</f>
        <v>0.184</v>
      </c>
      <c r="J169" s="1026">
        <f aca="true" t="shared" si="111" ref="J169:AC169">I169*(1+J$151)</f>
        <v>0.19043999999999997</v>
      </c>
      <c r="K169" s="1026">
        <f t="shared" si="111"/>
        <v>0.19710539999999996</v>
      </c>
      <c r="L169" s="1026">
        <f t="shared" si="111"/>
        <v>0.20301856199999996</v>
      </c>
      <c r="M169" s="1026">
        <f t="shared" si="111"/>
        <v>0.20809402604999994</v>
      </c>
      <c r="N169" s="1026">
        <f t="shared" si="111"/>
        <v>0.21329637670124993</v>
      </c>
      <c r="O169" s="1026">
        <f t="shared" si="111"/>
        <v>0.21862878611878117</v>
      </c>
      <c r="P169" s="1026">
        <f t="shared" si="111"/>
        <v>0.2240945057717507</v>
      </c>
      <c r="Q169" s="1026">
        <f t="shared" si="111"/>
        <v>0.22969686841604445</v>
      </c>
      <c r="R169" s="1026">
        <f t="shared" si="111"/>
        <v>0.23543929012644554</v>
      </c>
      <c r="S169" s="1026">
        <f t="shared" si="111"/>
        <v>0.24132527237960666</v>
      </c>
      <c r="T169" s="1026">
        <f t="shared" si="111"/>
        <v>0.2473584041890968</v>
      </c>
      <c r="U169" s="1026">
        <f t="shared" si="111"/>
        <v>0.2535423642938242</v>
      </c>
      <c r="V169" s="1026">
        <f t="shared" si="111"/>
        <v>0.2598809234011698</v>
      </c>
      <c r="W169" s="1026">
        <f t="shared" si="111"/>
        <v>0.2624797326351815</v>
      </c>
      <c r="X169" s="1026">
        <f t="shared" si="111"/>
        <v>0.2651045299615333</v>
      </c>
      <c r="Y169" s="1026">
        <f t="shared" si="111"/>
        <v>0.2677555752611486</v>
      </c>
      <c r="Z169" s="1026">
        <f t="shared" si="111"/>
        <v>0.2704331310137601</v>
      </c>
      <c r="AA169" s="1026">
        <f t="shared" si="111"/>
        <v>0.2731374623238977</v>
      </c>
      <c r="AB169" s="1026">
        <f t="shared" si="111"/>
        <v>0.27586883694713665</v>
      </c>
      <c r="AC169" s="1027">
        <f t="shared" si="111"/>
        <v>0.278627525316608</v>
      </c>
    </row>
    <row r="170" spans="1:29" ht="12">
      <c r="A170" s="49"/>
      <c r="B170" s="1404"/>
      <c r="C170" s="763" t="str">
        <f t="shared" si="100"/>
        <v>Znečištění ovzduší</v>
      </c>
      <c r="D170" s="764"/>
      <c r="E170" s="1026">
        <f t="shared" si="109"/>
        <v>0.20847474527275536</v>
      </c>
      <c r="F170" s="1026">
        <f t="shared" si="109"/>
        <v>0.21222729068766497</v>
      </c>
      <c r="G170" s="1026">
        <f t="shared" si="109"/>
        <v>0.21732074566416892</v>
      </c>
      <c r="H170" s="1026">
        <f t="shared" si="92"/>
        <v>0.22318840579710147</v>
      </c>
      <c r="I170" s="1026">
        <f>G95/1000</f>
        <v>0.231</v>
      </c>
      <c r="J170" s="1026">
        <f aca="true" t="shared" si="112" ref="J170:AC170">I170*(1+J$151)</f>
        <v>0.239085</v>
      </c>
      <c r="K170" s="1026">
        <f t="shared" si="112"/>
        <v>0.24745297499999996</v>
      </c>
      <c r="L170" s="1026">
        <f t="shared" si="112"/>
        <v>0.25487656425</v>
      </c>
      <c r="M170" s="1026">
        <f t="shared" si="112"/>
        <v>0.26124847835625</v>
      </c>
      <c r="N170" s="1026">
        <f t="shared" si="112"/>
        <v>0.2677796903151562</v>
      </c>
      <c r="O170" s="1026">
        <f t="shared" si="112"/>
        <v>0.2744741825730351</v>
      </c>
      <c r="P170" s="1026">
        <f t="shared" si="112"/>
        <v>0.28133603713736094</v>
      </c>
      <c r="Q170" s="1026">
        <f t="shared" si="112"/>
        <v>0.28836943806579496</v>
      </c>
      <c r="R170" s="1026">
        <f t="shared" si="112"/>
        <v>0.2955786740174398</v>
      </c>
      <c r="S170" s="1026">
        <f t="shared" si="112"/>
        <v>0.30296814086787577</v>
      </c>
      <c r="T170" s="1026">
        <f t="shared" si="112"/>
        <v>0.3105423443895726</v>
      </c>
      <c r="U170" s="1026">
        <f t="shared" si="112"/>
        <v>0.3183059029993119</v>
      </c>
      <c r="V170" s="1026">
        <f t="shared" si="112"/>
        <v>0.3262635505742947</v>
      </c>
      <c r="W170" s="1026">
        <f t="shared" si="112"/>
        <v>0.32952618608003764</v>
      </c>
      <c r="X170" s="1026">
        <f t="shared" si="112"/>
        <v>0.332821447940838</v>
      </c>
      <c r="Y170" s="1026">
        <f t="shared" si="112"/>
        <v>0.3361496624202464</v>
      </c>
      <c r="Z170" s="1026">
        <f t="shared" si="112"/>
        <v>0.3395111590444489</v>
      </c>
      <c r="AA170" s="1026">
        <f t="shared" si="112"/>
        <v>0.3429062706348934</v>
      </c>
      <c r="AB170" s="1026">
        <f t="shared" si="112"/>
        <v>0.34633533334124234</v>
      </c>
      <c r="AC170" s="1027">
        <f t="shared" si="112"/>
        <v>0.34979868667465475</v>
      </c>
    </row>
    <row r="171" spans="1:29" ht="12">
      <c r="A171" s="49"/>
      <c r="B171" s="1405"/>
      <c r="C171" s="770" t="str">
        <f t="shared" si="100"/>
        <v>Klimatické změny</v>
      </c>
      <c r="D171" s="771"/>
      <c r="E171" s="1030">
        <f t="shared" si="109"/>
        <v>0.2256220186934582</v>
      </c>
      <c r="F171" s="1030">
        <f t="shared" si="109"/>
        <v>0.22968321502994044</v>
      </c>
      <c r="G171" s="1030">
        <f t="shared" si="109"/>
        <v>0.23519561219065901</v>
      </c>
      <c r="H171" s="1030">
        <f t="shared" si="92"/>
        <v>0.24154589371980678</v>
      </c>
      <c r="I171" s="1030">
        <f>G96/1000</f>
        <v>0.25</v>
      </c>
      <c r="J171" s="1030">
        <f aca="true" t="shared" si="113" ref="J171:AC171">I171*(1+J$151)</f>
        <v>0.25875</v>
      </c>
      <c r="K171" s="1030">
        <f t="shared" si="113"/>
        <v>0.26780624999999997</v>
      </c>
      <c r="L171" s="1030">
        <f t="shared" si="113"/>
        <v>0.2758404375</v>
      </c>
      <c r="M171" s="1030">
        <f t="shared" si="113"/>
        <v>0.28273644843749995</v>
      </c>
      <c r="N171" s="1030">
        <f t="shared" si="113"/>
        <v>0.28980485964843744</v>
      </c>
      <c r="O171" s="1030">
        <f t="shared" si="113"/>
        <v>0.29704998113964837</v>
      </c>
      <c r="P171" s="1030">
        <f t="shared" si="113"/>
        <v>0.30447623066813956</v>
      </c>
      <c r="Q171" s="1030">
        <f t="shared" si="113"/>
        <v>0.312088136434843</v>
      </c>
      <c r="R171" s="1030">
        <f t="shared" si="113"/>
        <v>0.3198903398457141</v>
      </c>
      <c r="S171" s="1030">
        <f t="shared" si="113"/>
        <v>0.3278875983418569</v>
      </c>
      <c r="T171" s="1030">
        <f t="shared" si="113"/>
        <v>0.3360847883004033</v>
      </c>
      <c r="U171" s="1030">
        <f t="shared" si="113"/>
        <v>0.3444869080079133</v>
      </c>
      <c r="V171" s="1030">
        <f t="shared" si="113"/>
        <v>0.35309908070811113</v>
      </c>
      <c r="W171" s="1030">
        <f t="shared" si="113"/>
        <v>0.35663007151519227</v>
      </c>
      <c r="X171" s="1030">
        <f t="shared" si="113"/>
        <v>0.3601963722303442</v>
      </c>
      <c r="Y171" s="1030">
        <f t="shared" si="113"/>
        <v>0.3637983359526476</v>
      </c>
      <c r="Z171" s="1030">
        <f t="shared" si="113"/>
        <v>0.3674363193121741</v>
      </c>
      <c r="AA171" s="1030">
        <f t="shared" si="113"/>
        <v>0.37111068250529583</v>
      </c>
      <c r="AB171" s="1030">
        <f t="shared" si="113"/>
        <v>0.37482178933034876</v>
      </c>
      <c r="AC171" s="1031">
        <f t="shared" si="113"/>
        <v>0.37857000722365225</v>
      </c>
    </row>
    <row r="172" spans="1:29" ht="12" customHeight="1">
      <c r="A172" s="49"/>
      <c r="B172" s="1409" t="str">
        <f>IF('0 Úvod'!$M$3="English",Slovnik!D243,Slovnik!C243)</f>
        <v>Nákladní železniční</v>
      </c>
      <c r="C172" s="763" t="str">
        <f t="shared" si="100"/>
        <v>Nehody</v>
      </c>
      <c r="D172" s="764"/>
      <c r="E172" s="1026">
        <f t="shared" si="109"/>
        <v>0</v>
      </c>
      <c r="F172" s="1026">
        <f t="shared" si="109"/>
        <v>0</v>
      </c>
      <c r="G172" s="1026">
        <f t="shared" si="109"/>
        <v>0</v>
      </c>
      <c r="H172" s="1026">
        <f t="shared" si="92"/>
        <v>0</v>
      </c>
      <c r="I172" s="1026">
        <f>G99/1000</f>
        <v>0</v>
      </c>
      <c r="J172" s="1026">
        <f aca="true" t="shared" si="114" ref="J172:AC172">I172*(1+J$151)</f>
        <v>0</v>
      </c>
      <c r="K172" s="1026">
        <f t="shared" si="114"/>
        <v>0</v>
      </c>
      <c r="L172" s="1026">
        <f t="shared" si="114"/>
        <v>0</v>
      </c>
      <c r="M172" s="1026">
        <f t="shared" si="114"/>
        <v>0</v>
      </c>
      <c r="N172" s="1026">
        <f t="shared" si="114"/>
        <v>0</v>
      </c>
      <c r="O172" s="1026">
        <f t="shared" si="114"/>
        <v>0</v>
      </c>
      <c r="P172" s="1026">
        <f t="shared" si="114"/>
        <v>0</v>
      </c>
      <c r="Q172" s="1026">
        <f t="shared" si="114"/>
        <v>0</v>
      </c>
      <c r="R172" s="1026">
        <f t="shared" si="114"/>
        <v>0</v>
      </c>
      <c r="S172" s="1026">
        <f t="shared" si="114"/>
        <v>0</v>
      </c>
      <c r="T172" s="1026">
        <f t="shared" si="114"/>
        <v>0</v>
      </c>
      <c r="U172" s="1026">
        <f t="shared" si="114"/>
        <v>0</v>
      </c>
      <c r="V172" s="1026">
        <f t="shared" si="114"/>
        <v>0</v>
      </c>
      <c r="W172" s="1026">
        <f t="shared" si="114"/>
        <v>0</v>
      </c>
      <c r="X172" s="1026">
        <f t="shared" si="114"/>
        <v>0</v>
      </c>
      <c r="Y172" s="1026">
        <f t="shared" si="114"/>
        <v>0</v>
      </c>
      <c r="Z172" s="1026">
        <f t="shared" si="114"/>
        <v>0</v>
      </c>
      <c r="AA172" s="1026">
        <f t="shared" si="114"/>
        <v>0</v>
      </c>
      <c r="AB172" s="1026">
        <f t="shared" si="114"/>
        <v>0</v>
      </c>
      <c r="AC172" s="1027">
        <f t="shared" si="114"/>
        <v>0</v>
      </c>
    </row>
    <row r="173" spans="1:29" ht="12">
      <c r="A173" s="49"/>
      <c r="B173" s="1406"/>
      <c r="C173" s="763" t="str">
        <f t="shared" si="100"/>
        <v>Hluk</v>
      </c>
      <c r="D173" s="764"/>
      <c r="E173" s="1026">
        <f t="shared" si="109"/>
        <v>0</v>
      </c>
      <c r="F173" s="1026">
        <f t="shared" si="109"/>
        <v>0</v>
      </c>
      <c r="G173" s="1026">
        <f t="shared" si="109"/>
        <v>0</v>
      </c>
      <c r="H173" s="1026">
        <f t="shared" si="92"/>
        <v>0</v>
      </c>
      <c r="I173" s="1026">
        <f>G100/1000</f>
        <v>0</v>
      </c>
      <c r="J173" s="1026">
        <f aca="true" t="shared" si="115" ref="J173:AC173">I173*(1+J$151)</f>
        <v>0</v>
      </c>
      <c r="K173" s="1026">
        <f t="shared" si="115"/>
        <v>0</v>
      </c>
      <c r="L173" s="1026">
        <f t="shared" si="115"/>
        <v>0</v>
      </c>
      <c r="M173" s="1026">
        <f t="shared" si="115"/>
        <v>0</v>
      </c>
      <c r="N173" s="1026">
        <f t="shared" si="115"/>
        <v>0</v>
      </c>
      <c r="O173" s="1026">
        <f t="shared" si="115"/>
        <v>0</v>
      </c>
      <c r="P173" s="1026">
        <f t="shared" si="115"/>
        <v>0</v>
      </c>
      <c r="Q173" s="1026">
        <f t="shared" si="115"/>
        <v>0</v>
      </c>
      <c r="R173" s="1026">
        <f t="shared" si="115"/>
        <v>0</v>
      </c>
      <c r="S173" s="1026">
        <f t="shared" si="115"/>
        <v>0</v>
      </c>
      <c r="T173" s="1026">
        <f t="shared" si="115"/>
        <v>0</v>
      </c>
      <c r="U173" s="1026">
        <f t="shared" si="115"/>
        <v>0</v>
      </c>
      <c r="V173" s="1026">
        <f t="shared" si="115"/>
        <v>0</v>
      </c>
      <c r="W173" s="1026">
        <f t="shared" si="115"/>
        <v>0</v>
      </c>
      <c r="X173" s="1026">
        <f t="shared" si="115"/>
        <v>0</v>
      </c>
      <c r="Y173" s="1026">
        <f t="shared" si="115"/>
        <v>0</v>
      </c>
      <c r="Z173" s="1026">
        <f t="shared" si="115"/>
        <v>0</v>
      </c>
      <c r="AA173" s="1026">
        <f t="shared" si="115"/>
        <v>0</v>
      </c>
      <c r="AB173" s="1026">
        <f t="shared" si="115"/>
        <v>0</v>
      </c>
      <c r="AC173" s="1027">
        <f t="shared" si="115"/>
        <v>0</v>
      </c>
    </row>
    <row r="174" spans="1:29" ht="12">
      <c r="A174" s="49"/>
      <c r="B174" s="1406"/>
      <c r="C174" s="763" t="str">
        <f t="shared" si="100"/>
        <v>Znečištění ovzduší</v>
      </c>
      <c r="D174" s="764"/>
      <c r="E174" s="1026">
        <f t="shared" si="109"/>
        <v>0.41243705017164156</v>
      </c>
      <c r="F174" s="1026">
        <f t="shared" si="109"/>
        <v>0.4198609170747311</v>
      </c>
      <c r="G174" s="1026">
        <f t="shared" si="109"/>
        <v>0.4299375790845247</v>
      </c>
      <c r="H174" s="1026">
        <f t="shared" si="92"/>
        <v>0.4415458937198068</v>
      </c>
      <c r="I174" s="1026">
        <f>G101/1000</f>
        <v>0.457</v>
      </c>
      <c r="J174" s="1026">
        <f aca="true" t="shared" si="116" ref="J174:AC174">I174*(1+J$151)</f>
        <v>0.472995</v>
      </c>
      <c r="K174" s="1026">
        <f t="shared" si="116"/>
        <v>0.48954982499999994</v>
      </c>
      <c r="L174" s="1026">
        <f t="shared" si="116"/>
        <v>0.5042363197499999</v>
      </c>
      <c r="M174" s="1026">
        <f t="shared" si="116"/>
        <v>0.5168422277437499</v>
      </c>
      <c r="N174" s="1026">
        <f t="shared" si="116"/>
        <v>0.5297632834373436</v>
      </c>
      <c r="O174" s="1026">
        <f t="shared" si="116"/>
        <v>0.5430073655232771</v>
      </c>
      <c r="P174" s="1026">
        <f t="shared" si="116"/>
        <v>0.556582549661359</v>
      </c>
      <c r="Q174" s="1026">
        <f t="shared" si="116"/>
        <v>0.5704971134028929</v>
      </c>
      <c r="R174" s="1026">
        <f t="shared" si="116"/>
        <v>0.5847595412379651</v>
      </c>
      <c r="S174" s="1026">
        <f t="shared" si="116"/>
        <v>0.5993785297689143</v>
      </c>
      <c r="T174" s="1026">
        <f t="shared" si="116"/>
        <v>0.614362993013137</v>
      </c>
      <c r="U174" s="1026">
        <f t="shared" si="116"/>
        <v>0.6297220678384654</v>
      </c>
      <c r="V174" s="1026">
        <f t="shared" si="116"/>
        <v>0.645465119534427</v>
      </c>
      <c r="W174" s="1026">
        <f t="shared" si="116"/>
        <v>0.6519197707297713</v>
      </c>
      <c r="X174" s="1026">
        <f t="shared" si="116"/>
        <v>0.658438968437069</v>
      </c>
      <c r="Y174" s="1026">
        <f t="shared" si="116"/>
        <v>0.6650233581214396</v>
      </c>
      <c r="Z174" s="1026">
        <f t="shared" si="116"/>
        <v>0.6716735917026541</v>
      </c>
      <c r="AA174" s="1026">
        <f t="shared" si="116"/>
        <v>0.6783903276196807</v>
      </c>
      <c r="AB174" s="1026">
        <f t="shared" si="116"/>
        <v>0.6851742308958775</v>
      </c>
      <c r="AC174" s="1027">
        <f t="shared" si="116"/>
        <v>0.6920259732048363</v>
      </c>
    </row>
    <row r="175" spans="1:29" ht="12.75" thickBot="1">
      <c r="A175" s="49"/>
      <c r="B175" s="1410"/>
      <c r="C175" s="763" t="str">
        <f t="shared" si="100"/>
        <v>Klimatické změny</v>
      </c>
      <c r="D175" s="766"/>
      <c r="E175" s="1028">
        <f t="shared" si="109"/>
        <v>0.1786926388052189</v>
      </c>
      <c r="F175" s="1028">
        <f t="shared" si="109"/>
        <v>0.18190910630371285</v>
      </c>
      <c r="G175" s="1028">
        <f t="shared" si="109"/>
        <v>0.18627492485500197</v>
      </c>
      <c r="H175" s="1028">
        <f t="shared" si="92"/>
        <v>0.191304347826087</v>
      </c>
      <c r="I175" s="1028">
        <f>G102/1000</f>
        <v>0.198</v>
      </c>
      <c r="J175" s="1028">
        <f aca="true" t="shared" si="117" ref="J175:AC175">I175*(1+J$151)</f>
        <v>0.20493</v>
      </c>
      <c r="K175" s="1028">
        <f t="shared" si="117"/>
        <v>0.21210254999999997</v>
      </c>
      <c r="L175" s="1028">
        <f t="shared" si="117"/>
        <v>0.21846562649999998</v>
      </c>
      <c r="M175" s="1028">
        <f t="shared" si="117"/>
        <v>0.22392726716249997</v>
      </c>
      <c r="N175" s="1028">
        <f t="shared" si="117"/>
        <v>0.22952544884156245</v>
      </c>
      <c r="O175" s="1028">
        <f t="shared" si="117"/>
        <v>0.2352635850626015</v>
      </c>
      <c r="P175" s="1028">
        <f t="shared" si="117"/>
        <v>0.24114517468916652</v>
      </c>
      <c r="Q175" s="1028">
        <f t="shared" si="117"/>
        <v>0.24717380405639566</v>
      </c>
      <c r="R175" s="1028">
        <f t="shared" si="117"/>
        <v>0.25335314915780555</v>
      </c>
      <c r="S175" s="1028">
        <f t="shared" si="117"/>
        <v>0.25968697788675066</v>
      </c>
      <c r="T175" s="1028">
        <f t="shared" si="117"/>
        <v>0.2661791523339194</v>
      </c>
      <c r="U175" s="1028">
        <f t="shared" si="117"/>
        <v>0.2728336311422674</v>
      </c>
      <c r="V175" s="1028">
        <f t="shared" si="117"/>
        <v>0.27965447192082404</v>
      </c>
      <c r="W175" s="1028">
        <f t="shared" si="117"/>
        <v>0.2824510166400323</v>
      </c>
      <c r="X175" s="1028">
        <f t="shared" si="117"/>
        <v>0.28527552680643264</v>
      </c>
      <c r="Y175" s="1028">
        <f t="shared" si="117"/>
        <v>0.288128282074497</v>
      </c>
      <c r="Z175" s="1028">
        <f t="shared" si="117"/>
        <v>0.29100956489524193</v>
      </c>
      <c r="AA175" s="1028">
        <f t="shared" si="117"/>
        <v>0.2939196605441944</v>
      </c>
      <c r="AB175" s="1028">
        <f t="shared" si="117"/>
        <v>0.29685885714963633</v>
      </c>
      <c r="AC175" s="1029">
        <f t="shared" si="117"/>
        <v>0.2998274457211327</v>
      </c>
    </row>
    <row r="176" spans="1:29" ht="12" thickBot="1">
      <c r="A176" s="49"/>
      <c r="B176" s="102"/>
      <c r="C176" s="440"/>
      <c r="D176" s="49"/>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row>
    <row r="177" spans="1:29" ht="12.75">
      <c r="A177" s="49"/>
      <c r="B177" s="383" t="str">
        <f>B149</f>
        <v>7.7.</v>
      </c>
      <c r="C177" s="757" t="str">
        <f>C149</f>
        <v>Změna měrných hodnot</v>
      </c>
      <c r="D177" s="760"/>
      <c r="E177" s="1420">
        <f>AC149+1</f>
        <v>2039</v>
      </c>
      <c r="F177" s="1420">
        <f aca="true" t="shared" si="118" ref="F177:S177">E177+1</f>
        <v>2040</v>
      </c>
      <c r="G177" s="1420">
        <f t="shared" si="118"/>
        <v>2041</v>
      </c>
      <c r="H177" s="1420">
        <f t="shared" si="118"/>
        <v>2042</v>
      </c>
      <c r="I177" s="1420">
        <f t="shared" si="118"/>
        <v>2043</v>
      </c>
      <c r="J177" s="1420">
        <f t="shared" si="118"/>
        <v>2044</v>
      </c>
      <c r="K177" s="1420">
        <f t="shared" si="118"/>
        <v>2045</v>
      </c>
      <c r="L177" s="1420">
        <f t="shared" si="118"/>
        <v>2046</v>
      </c>
      <c r="M177" s="1420">
        <f t="shared" si="118"/>
        <v>2047</v>
      </c>
      <c r="N177" s="1420">
        <f t="shared" si="118"/>
        <v>2048</v>
      </c>
      <c r="O177" s="1420">
        <f t="shared" si="118"/>
        <v>2049</v>
      </c>
      <c r="P177" s="1420">
        <f t="shared" si="118"/>
        <v>2050</v>
      </c>
      <c r="Q177" s="1420">
        <f t="shared" si="118"/>
        <v>2051</v>
      </c>
      <c r="R177" s="1420">
        <f t="shared" si="118"/>
        <v>2052</v>
      </c>
      <c r="S177" s="1420">
        <f t="shared" si="118"/>
        <v>2053</v>
      </c>
      <c r="T177" s="1420">
        <f aca="true" t="shared" si="119" ref="T177:AC177">S177+1</f>
        <v>2054</v>
      </c>
      <c r="U177" s="1420">
        <f t="shared" si="119"/>
        <v>2055</v>
      </c>
      <c r="V177" s="1420">
        <f t="shared" si="119"/>
        <v>2056</v>
      </c>
      <c r="W177" s="1420">
        <f t="shared" si="119"/>
        <v>2057</v>
      </c>
      <c r="X177" s="1420">
        <f t="shared" si="119"/>
        <v>2058</v>
      </c>
      <c r="Y177" s="1420">
        <f t="shared" si="119"/>
        <v>2059</v>
      </c>
      <c r="Z177" s="1420">
        <f t="shared" si="119"/>
        <v>2060</v>
      </c>
      <c r="AA177" s="1420">
        <f t="shared" si="119"/>
        <v>2061</v>
      </c>
      <c r="AB177" s="1420">
        <f t="shared" si="119"/>
        <v>2062</v>
      </c>
      <c r="AC177" s="1422">
        <f t="shared" si="119"/>
        <v>2063</v>
      </c>
    </row>
    <row r="178" spans="1:29" ht="13.5" thickBot="1">
      <c r="A178" s="49"/>
      <c r="B178" s="759" t="s">
        <v>19</v>
      </c>
      <c r="C178" s="761" t="str">
        <f>C150</f>
        <v>CZK oskm nebo tkm</v>
      </c>
      <c r="D178" s="762"/>
      <c r="E178" s="1421">
        <f>S150+1</f>
        <v>1</v>
      </c>
      <c r="F178" s="1421"/>
      <c r="G178" s="1421"/>
      <c r="H178" s="1421"/>
      <c r="I178" s="1421"/>
      <c r="J178" s="1421"/>
      <c r="K178" s="1421"/>
      <c r="L178" s="1421"/>
      <c r="M178" s="1421"/>
      <c r="N178" s="1421"/>
      <c r="O178" s="1421"/>
      <c r="P178" s="1421"/>
      <c r="Q178" s="1421"/>
      <c r="R178" s="1421"/>
      <c r="S178" s="1421"/>
      <c r="T178" s="1421"/>
      <c r="U178" s="1421"/>
      <c r="V178" s="1421"/>
      <c r="W178" s="1421"/>
      <c r="X178" s="1421"/>
      <c r="Y178" s="1421"/>
      <c r="Z178" s="1421"/>
      <c r="AA178" s="1421"/>
      <c r="AB178" s="1421"/>
      <c r="AC178" s="1423"/>
    </row>
    <row r="179" spans="1:29" ht="13.5" thickBot="1">
      <c r="A179" s="49"/>
      <c r="B179" s="773"/>
      <c r="C179" s="774" t="str">
        <f aca="true" t="shared" si="120" ref="C179:C187">C151</f>
        <v>Změna HDP</v>
      </c>
      <c r="D179" s="775"/>
      <c r="E179" s="1220">
        <f>'0 Úvod'!$M$73</f>
        <v>0.01</v>
      </c>
      <c r="F179" s="1220">
        <f>'0 Úvod'!$M$73</f>
        <v>0.01</v>
      </c>
      <c r="G179" s="1220">
        <f>'0 Úvod'!$M$73</f>
        <v>0.01</v>
      </c>
      <c r="H179" s="1220">
        <f>'0 Úvod'!$M$73</f>
        <v>0.01</v>
      </c>
      <c r="I179" s="1220">
        <f>'0 Úvod'!$M$73</f>
        <v>0.01</v>
      </c>
      <c r="J179" s="1220">
        <f>'0 Úvod'!$M$73</f>
        <v>0.01</v>
      </c>
      <c r="K179" s="1220">
        <f>'0 Úvod'!$M$73</f>
        <v>0.01</v>
      </c>
      <c r="L179" s="1220">
        <f>'0 Úvod'!$M$73</f>
        <v>0.01</v>
      </c>
      <c r="M179" s="1220">
        <f>'0 Úvod'!$M$73</f>
        <v>0.01</v>
      </c>
      <c r="N179" s="1220">
        <f>'0 Úvod'!$M$73</f>
        <v>0.01</v>
      </c>
      <c r="O179" s="1220">
        <f>'0 Úvod'!$M$73</f>
        <v>0.01</v>
      </c>
      <c r="P179" s="1220">
        <f>'0 Úvod'!$M$73</f>
        <v>0.01</v>
      </c>
      <c r="Q179" s="1220">
        <f>'0 Úvod'!$M$73</f>
        <v>0.01</v>
      </c>
      <c r="R179" s="1220">
        <f>'0 Úvod'!$N$73</f>
        <v>0</v>
      </c>
      <c r="S179" s="1220">
        <f>'0 Úvod'!$N$73</f>
        <v>0</v>
      </c>
      <c r="T179" s="1220">
        <f>'0 Úvod'!$N$73</f>
        <v>0</v>
      </c>
      <c r="U179" s="1220">
        <f>'0 Úvod'!$N$73</f>
        <v>0</v>
      </c>
      <c r="V179" s="1220">
        <f>'0 Úvod'!$N$73</f>
        <v>0</v>
      </c>
      <c r="W179" s="1220">
        <f>'0 Úvod'!$N$73</f>
        <v>0</v>
      </c>
      <c r="X179" s="1220">
        <f>'0 Úvod'!$N$73</f>
        <v>0</v>
      </c>
      <c r="Y179" s="1220">
        <f>'0 Úvod'!$N$73</f>
        <v>0</v>
      </c>
      <c r="Z179" s="1220">
        <f>'0 Úvod'!$N$73</f>
        <v>0</v>
      </c>
      <c r="AA179" s="1220">
        <f>'0 Úvod'!$N$73</f>
        <v>0</v>
      </c>
      <c r="AB179" s="1220">
        <f>'0 Úvod'!$N$73</f>
        <v>0</v>
      </c>
      <c r="AC179" s="1238">
        <f>'0 Úvod'!$N$73</f>
        <v>0</v>
      </c>
    </row>
    <row r="180" spans="1:29" ht="12">
      <c r="A180" s="49"/>
      <c r="B180" s="1404" t="str">
        <f>B152</f>
        <v>Osobní 
říční</v>
      </c>
      <c r="C180" s="763" t="str">
        <f t="shared" si="120"/>
        <v>Nehody</v>
      </c>
      <c r="D180" s="764"/>
      <c r="E180" s="50">
        <f>AC152*(1+E$179)</f>
        <v>0</v>
      </c>
      <c r="F180" s="50">
        <f>E180*(1+F$179)</f>
        <v>0</v>
      </c>
      <c r="G180" s="50">
        <f>F180*(1+G$179)</f>
        <v>0</v>
      </c>
      <c r="H180" s="50">
        <f aca="true" t="shared" si="121" ref="H180:AC180">G180*(1+H$179)</f>
        <v>0</v>
      </c>
      <c r="I180" s="50">
        <f t="shared" si="121"/>
        <v>0</v>
      </c>
      <c r="J180" s="50">
        <f t="shared" si="121"/>
        <v>0</v>
      </c>
      <c r="K180" s="50">
        <f t="shared" si="121"/>
        <v>0</v>
      </c>
      <c r="L180" s="50">
        <f t="shared" si="121"/>
        <v>0</v>
      </c>
      <c r="M180" s="50">
        <f t="shared" si="121"/>
        <v>0</v>
      </c>
      <c r="N180" s="50">
        <f t="shared" si="121"/>
        <v>0</v>
      </c>
      <c r="O180" s="50">
        <f t="shared" si="121"/>
        <v>0</v>
      </c>
      <c r="P180" s="50">
        <f t="shared" si="121"/>
        <v>0</v>
      </c>
      <c r="Q180" s="50">
        <f t="shared" si="121"/>
        <v>0</v>
      </c>
      <c r="R180" s="50">
        <f t="shared" si="121"/>
        <v>0</v>
      </c>
      <c r="S180" s="50">
        <f t="shared" si="121"/>
        <v>0</v>
      </c>
      <c r="T180" s="50">
        <f t="shared" si="121"/>
        <v>0</v>
      </c>
      <c r="U180" s="50">
        <f t="shared" si="121"/>
        <v>0</v>
      </c>
      <c r="V180" s="50">
        <f t="shared" si="121"/>
        <v>0</v>
      </c>
      <c r="W180" s="50">
        <f t="shared" si="121"/>
        <v>0</v>
      </c>
      <c r="X180" s="50">
        <f t="shared" si="121"/>
        <v>0</v>
      </c>
      <c r="Y180" s="50">
        <f t="shared" si="121"/>
        <v>0</v>
      </c>
      <c r="Z180" s="50">
        <f t="shared" si="121"/>
        <v>0</v>
      </c>
      <c r="AA180" s="50">
        <f t="shared" si="121"/>
        <v>0</v>
      </c>
      <c r="AB180" s="50">
        <f t="shared" si="121"/>
        <v>0</v>
      </c>
      <c r="AC180" s="433">
        <f t="shared" si="121"/>
        <v>0</v>
      </c>
    </row>
    <row r="181" spans="1:29" ht="12">
      <c r="A181" s="49"/>
      <c r="B181" s="1404"/>
      <c r="C181" s="763" t="str">
        <f t="shared" si="120"/>
        <v>Hluk</v>
      </c>
      <c r="D181" s="764"/>
      <c r="E181" s="50">
        <f aca="true" t="shared" si="122" ref="E181:E203">AC153*(1+E$179)</f>
        <v>0</v>
      </c>
      <c r="F181" s="50">
        <f aca="true" t="shared" si="123" ref="F181:G203">E181*(1+F$179)</f>
        <v>0</v>
      </c>
      <c r="G181" s="50">
        <f t="shared" si="123"/>
        <v>0</v>
      </c>
      <c r="H181" s="50">
        <f aca="true" t="shared" si="124" ref="H181:AC181">G181*(1+H$179)</f>
        <v>0</v>
      </c>
      <c r="I181" s="50">
        <f t="shared" si="124"/>
        <v>0</v>
      </c>
      <c r="J181" s="50">
        <f t="shared" si="124"/>
        <v>0</v>
      </c>
      <c r="K181" s="50">
        <f t="shared" si="124"/>
        <v>0</v>
      </c>
      <c r="L181" s="50">
        <f t="shared" si="124"/>
        <v>0</v>
      </c>
      <c r="M181" s="50">
        <f t="shared" si="124"/>
        <v>0</v>
      </c>
      <c r="N181" s="50">
        <f t="shared" si="124"/>
        <v>0</v>
      </c>
      <c r="O181" s="50">
        <f t="shared" si="124"/>
        <v>0</v>
      </c>
      <c r="P181" s="50">
        <f t="shared" si="124"/>
        <v>0</v>
      </c>
      <c r="Q181" s="50">
        <f t="shared" si="124"/>
        <v>0</v>
      </c>
      <c r="R181" s="50">
        <f t="shared" si="124"/>
        <v>0</v>
      </c>
      <c r="S181" s="50">
        <f t="shared" si="124"/>
        <v>0</v>
      </c>
      <c r="T181" s="50">
        <f t="shared" si="124"/>
        <v>0</v>
      </c>
      <c r="U181" s="50">
        <f t="shared" si="124"/>
        <v>0</v>
      </c>
      <c r="V181" s="50">
        <f t="shared" si="124"/>
        <v>0</v>
      </c>
      <c r="W181" s="50">
        <f t="shared" si="124"/>
        <v>0</v>
      </c>
      <c r="X181" s="50">
        <f t="shared" si="124"/>
        <v>0</v>
      </c>
      <c r="Y181" s="50">
        <f t="shared" si="124"/>
        <v>0</v>
      </c>
      <c r="Z181" s="50">
        <f t="shared" si="124"/>
        <v>0</v>
      </c>
      <c r="AA181" s="50">
        <f t="shared" si="124"/>
        <v>0</v>
      </c>
      <c r="AB181" s="50">
        <f t="shared" si="124"/>
        <v>0</v>
      </c>
      <c r="AC181" s="431">
        <f t="shared" si="124"/>
        <v>0</v>
      </c>
    </row>
    <row r="182" spans="1:29" ht="12">
      <c r="A182" s="49"/>
      <c r="B182" s="1404"/>
      <c r="C182" s="763" t="str">
        <f t="shared" si="120"/>
        <v>Znečištění ovzduší</v>
      </c>
      <c r="D182" s="764"/>
      <c r="E182" s="50">
        <f t="shared" si="122"/>
        <v>0</v>
      </c>
      <c r="F182" s="50">
        <f t="shared" si="123"/>
        <v>0</v>
      </c>
      <c r="G182" s="50">
        <f t="shared" si="123"/>
        <v>0</v>
      </c>
      <c r="H182" s="50">
        <f aca="true" t="shared" si="125" ref="H182:AC182">G182*(1+H$179)</f>
        <v>0</v>
      </c>
      <c r="I182" s="50">
        <f t="shared" si="125"/>
        <v>0</v>
      </c>
      <c r="J182" s="50">
        <f t="shared" si="125"/>
        <v>0</v>
      </c>
      <c r="K182" s="50">
        <f t="shared" si="125"/>
        <v>0</v>
      </c>
      <c r="L182" s="50">
        <f t="shared" si="125"/>
        <v>0</v>
      </c>
      <c r="M182" s="50">
        <f t="shared" si="125"/>
        <v>0</v>
      </c>
      <c r="N182" s="50">
        <f t="shared" si="125"/>
        <v>0</v>
      </c>
      <c r="O182" s="50">
        <f t="shared" si="125"/>
        <v>0</v>
      </c>
      <c r="P182" s="50">
        <f t="shared" si="125"/>
        <v>0</v>
      </c>
      <c r="Q182" s="50">
        <f t="shared" si="125"/>
        <v>0</v>
      </c>
      <c r="R182" s="50">
        <f t="shared" si="125"/>
        <v>0</v>
      </c>
      <c r="S182" s="50">
        <f t="shared" si="125"/>
        <v>0</v>
      </c>
      <c r="T182" s="50">
        <f t="shared" si="125"/>
        <v>0</v>
      </c>
      <c r="U182" s="50">
        <f t="shared" si="125"/>
        <v>0</v>
      </c>
      <c r="V182" s="50">
        <f t="shared" si="125"/>
        <v>0</v>
      </c>
      <c r="W182" s="50">
        <f t="shared" si="125"/>
        <v>0</v>
      </c>
      <c r="X182" s="50">
        <f t="shared" si="125"/>
        <v>0</v>
      </c>
      <c r="Y182" s="50">
        <f t="shared" si="125"/>
        <v>0</v>
      </c>
      <c r="Z182" s="50">
        <f t="shared" si="125"/>
        <v>0</v>
      </c>
      <c r="AA182" s="50">
        <f t="shared" si="125"/>
        <v>0</v>
      </c>
      <c r="AB182" s="50">
        <f t="shared" si="125"/>
        <v>0</v>
      </c>
      <c r="AC182" s="431">
        <f t="shared" si="125"/>
        <v>0</v>
      </c>
    </row>
    <row r="183" spans="1:29" ht="12">
      <c r="A183" s="49"/>
      <c r="B183" s="1405"/>
      <c r="C183" s="770" t="str">
        <f t="shared" si="120"/>
        <v>Klimatické změny</v>
      </c>
      <c r="D183" s="771"/>
      <c r="E183" s="473">
        <f t="shared" si="122"/>
        <v>0</v>
      </c>
      <c r="F183" s="473">
        <f t="shared" si="123"/>
        <v>0</v>
      </c>
      <c r="G183" s="473">
        <f t="shared" si="123"/>
        <v>0</v>
      </c>
      <c r="H183" s="473">
        <f aca="true" t="shared" si="126" ref="H183:AC183">G183*(1+H$179)</f>
        <v>0</v>
      </c>
      <c r="I183" s="473">
        <f t="shared" si="126"/>
        <v>0</v>
      </c>
      <c r="J183" s="473">
        <f t="shared" si="126"/>
        <v>0</v>
      </c>
      <c r="K183" s="473">
        <f t="shared" si="126"/>
        <v>0</v>
      </c>
      <c r="L183" s="473">
        <f t="shared" si="126"/>
        <v>0</v>
      </c>
      <c r="M183" s="473">
        <f t="shared" si="126"/>
        <v>0</v>
      </c>
      <c r="N183" s="473">
        <f t="shared" si="126"/>
        <v>0</v>
      </c>
      <c r="O183" s="473">
        <f t="shared" si="126"/>
        <v>0</v>
      </c>
      <c r="P183" s="473">
        <f t="shared" si="126"/>
        <v>0</v>
      </c>
      <c r="Q183" s="473">
        <f t="shared" si="126"/>
        <v>0</v>
      </c>
      <c r="R183" s="473">
        <f t="shared" si="126"/>
        <v>0</v>
      </c>
      <c r="S183" s="473">
        <f t="shared" si="126"/>
        <v>0</v>
      </c>
      <c r="T183" s="473">
        <f t="shared" si="126"/>
        <v>0</v>
      </c>
      <c r="U183" s="473">
        <f t="shared" si="126"/>
        <v>0</v>
      </c>
      <c r="V183" s="473">
        <f t="shared" si="126"/>
        <v>0</v>
      </c>
      <c r="W183" s="473">
        <f t="shared" si="126"/>
        <v>0</v>
      </c>
      <c r="X183" s="473">
        <f t="shared" si="126"/>
        <v>0</v>
      </c>
      <c r="Y183" s="473">
        <f t="shared" si="126"/>
        <v>0</v>
      </c>
      <c r="Z183" s="473">
        <f t="shared" si="126"/>
        <v>0</v>
      </c>
      <c r="AA183" s="473">
        <f t="shared" si="126"/>
        <v>0</v>
      </c>
      <c r="AB183" s="473">
        <f t="shared" si="126"/>
        <v>0</v>
      </c>
      <c r="AC183" s="474">
        <f t="shared" si="126"/>
        <v>0</v>
      </c>
    </row>
    <row r="184" spans="1:29" ht="12">
      <c r="A184" s="49"/>
      <c r="B184" s="1406" t="str">
        <f>B156</f>
        <v>Nákladní říční</v>
      </c>
      <c r="C184" s="763" t="str">
        <f t="shared" si="120"/>
        <v>Nehody</v>
      </c>
      <c r="D184" s="764"/>
      <c r="E184" s="50">
        <f t="shared" si="122"/>
        <v>0</v>
      </c>
      <c r="F184" s="50">
        <f t="shared" si="123"/>
        <v>0</v>
      </c>
      <c r="G184" s="50">
        <f t="shared" si="123"/>
        <v>0</v>
      </c>
      <c r="H184" s="50">
        <f aca="true" t="shared" si="127" ref="H184:AC184">G184*(1+H$179)</f>
        <v>0</v>
      </c>
      <c r="I184" s="50">
        <f t="shared" si="127"/>
        <v>0</v>
      </c>
      <c r="J184" s="50">
        <f t="shared" si="127"/>
        <v>0</v>
      </c>
      <c r="K184" s="50">
        <f t="shared" si="127"/>
        <v>0</v>
      </c>
      <c r="L184" s="50">
        <f t="shared" si="127"/>
        <v>0</v>
      </c>
      <c r="M184" s="50">
        <f t="shared" si="127"/>
        <v>0</v>
      </c>
      <c r="N184" s="50">
        <f t="shared" si="127"/>
        <v>0</v>
      </c>
      <c r="O184" s="50">
        <f t="shared" si="127"/>
        <v>0</v>
      </c>
      <c r="P184" s="50">
        <f t="shared" si="127"/>
        <v>0</v>
      </c>
      <c r="Q184" s="50">
        <f t="shared" si="127"/>
        <v>0</v>
      </c>
      <c r="R184" s="50">
        <f t="shared" si="127"/>
        <v>0</v>
      </c>
      <c r="S184" s="50">
        <f t="shared" si="127"/>
        <v>0</v>
      </c>
      <c r="T184" s="50">
        <f t="shared" si="127"/>
        <v>0</v>
      </c>
      <c r="U184" s="50">
        <f t="shared" si="127"/>
        <v>0</v>
      </c>
      <c r="V184" s="50">
        <f t="shared" si="127"/>
        <v>0</v>
      </c>
      <c r="W184" s="50">
        <f t="shared" si="127"/>
        <v>0</v>
      </c>
      <c r="X184" s="50">
        <f t="shared" si="127"/>
        <v>0</v>
      </c>
      <c r="Y184" s="50">
        <f t="shared" si="127"/>
        <v>0</v>
      </c>
      <c r="Z184" s="50">
        <f t="shared" si="127"/>
        <v>0</v>
      </c>
      <c r="AA184" s="50">
        <f t="shared" si="127"/>
        <v>0</v>
      </c>
      <c r="AB184" s="50">
        <f t="shared" si="127"/>
        <v>0</v>
      </c>
      <c r="AC184" s="431">
        <f t="shared" si="127"/>
        <v>0</v>
      </c>
    </row>
    <row r="185" spans="1:29" ht="12">
      <c r="A185" s="49"/>
      <c r="B185" s="1407"/>
      <c r="C185" s="763" t="str">
        <f t="shared" si="120"/>
        <v>Hluk</v>
      </c>
      <c r="D185" s="764"/>
      <c r="E185" s="1032">
        <f t="shared" si="122"/>
        <v>0</v>
      </c>
      <c r="F185" s="1032">
        <f t="shared" si="123"/>
        <v>0</v>
      </c>
      <c r="G185" s="1032">
        <f t="shared" si="123"/>
        <v>0</v>
      </c>
      <c r="H185" s="1032">
        <f aca="true" t="shared" si="128" ref="H185:AC185">G185*(1+H$179)</f>
        <v>0</v>
      </c>
      <c r="I185" s="1032">
        <f t="shared" si="128"/>
        <v>0</v>
      </c>
      <c r="J185" s="1032">
        <f t="shared" si="128"/>
        <v>0</v>
      </c>
      <c r="K185" s="1032">
        <f t="shared" si="128"/>
        <v>0</v>
      </c>
      <c r="L185" s="1032">
        <f t="shared" si="128"/>
        <v>0</v>
      </c>
      <c r="M185" s="1032">
        <f t="shared" si="128"/>
        <v>0</v>
      </c>
      <c r="N185" s="1032">
        <f t="shared" si="128"/>
        <v>0</v>
      </c>
      <c r="O185" s="1032">
        <f t="shared" si="128"/>
        <v>0</v>
      </c>
      <c r="P185" s="1032">
        <f t="shared" si="128"/>
        <v>0</v>
      </c>
      <c r="Q185" s="1032">
        <f t="shared" si="128"/>
        <v>0</v>
      </c>
      <c r="R185" s="1032">
        <f t="shared" si="128"/>
        <v>0</v>
      </c>
      <c r="S185" s="1032">
        <f t="shared" si="128"/>
        <v>0</v>
      </c>
      <c r="T185" s="1032">
        <f t="shared" si="128"/>
        <v>0</v>
      </c>
      <c r="U185" s="1032">
        <f t="shared" si="128"/>
        <v>0</v>
      </c>
      <c r="V185" s="1032">
        <f t="shared" si="128"/>
        <v>0</v>
      </c>
      <c r="W185" s="1032">
        <f t="shared" si="128"/>
        <v>0</v>
      </c>
      <c r="X185" s="1032">
        <f t="shared" si="128"/>
        <v>0</v>
      </c>
      <c r="Y185" s="1032">
        <f t="shared" si="128"/>
        <v>0</v>
      </c>
      <c r="Z185" s="1032">
        <f t="shared" si="128"/>
        <v>0</v>
      </c>
      <c r="AA185" s="1032">
        <f t="shared" si="128"/>
        <v>0</v>
      </c>
      <c r="AB185" s="1032">
        <f t="shared" si="128"/>
        <v>0</v>
      </c>
      <c r="AC185" s="1033">
        <f t="shared" si="128"/>
        <v>0</v>
      </c>
    </row>
    <row r="186" spans="1:29" ht="12">
      <c r="A186" s="49"/>
      <c r="B186" s="1407"/>
      <c r="C186" s="763" t="str">
        <f t="shared" si="120"/>
        <v>Znečištění ovzduší</v>
      </c>
      <c r="D186" s="764"/>
      <c r="E186" s="1032">
        <f t="shared" si="122"/>
        <v>0.6989462329368846</v>
      </c>
      <c r="F186" s="1032">
        <f t="shared" si="123"/>
        <v>0.7059356952662534</v>
      </c>
      <c r="G186" s="1032">
        <f t="shared" si="123"/>
        <v>0.712995052218916</v>
      </c>
      <c r="H186" s="1032">
        <f aca="true" t="shared" si="129" ref="H186:AC186">G186*(1+H$179)</f>
        <v>0.7201250027411051</v>
      </c>
      <c r="I186" s="1032">
        <f t="shared" si="129"/>
        <v>0.7273262527685161</v>
      </c>
      <c r="J186" s="1032">
        <f t="shared" si="129"/>
        <v>0.7345995152962013</v>
      </c>
      <c r="K186" s="1032">
        <f t="shared" si="129"/>
        <v>0.7419455104491632</v>
      </c>
      <c r="L186" s="1032">
        <f t="shared" si="129"/>
        <v>0.7493649655536548</v>
      </c>
      <c r="M186" s="1032">
        <f t="shared" si="129"/>
        <v>0.7568586152091914</v>
      </c>
      <c r="N186" s="1032">
        <f t="shared" si="129"/>
        <v>0.7644272013612833</v>
      </c>
      <c r="O186" s="1032">
        <f t="shared" si="129"/>
        <v>0.7720714733748961</v>
      </c>
      <c r="P186" s="1032">
        <f t="shared" si="129"/>
        <v>0.7797921881086451</v>
      </c>
      <c r="Q186" s="1032">
        <f t="shared" si="129"/>
        <v>0.7875901099897316</v>
      </c>
      <c r="R186" s="1032">
        <f t="shared" si="129"/>
        <v>0.7875901099897316</v>
      </c>
      <c r="S186" s="1032">
        <f t="shared" si="129"/>
        <v>0.7875901099897316</v>
      </c>
      <c r="T186" s="1032">
        <f t="shared" si="129"/>
        <v>0.7875901099897316</v>
      </c>
      <c r="U186" s="1032">
        <f t="shared" si="129"/>
        <v>0.7875901099897316</v>
      </c>
      <c r="V186" s="1032">
        <f t="shared" si="129"/>
        <v>0.7875901099897316</v>
      </c>
      <c r="W186" s="1032">
        <f t="shared" si="129"/>
        <v>0.7875901099897316</v>
      </c>
      <c r="X186" s="1032">
        <f t="shared" si="129"/>
        <v>0.7875901099897316</v>
      </c>
      <c r="Y186" s="1032">
        <f t="shared" si="129"/>
        <v>0.7875901099897316</v>
      </c>
      <c r="Z186" s="1032">
        <f t="shared" si="129"/>
        <v>0.7875901099897316</v>
      </c>
      <c r="AA186" s="1032">
        <f t="shared" si="129"/>
        <v>0.7875901099897316</v>
      </c>
      <c r="AB186" s="1032">
        <f t="shared" si="129"/>
        <v>0.7875901099897316</v>
      </c>
      <c r="AC186" s="1033">
        <f t="shared" si="129"/>
        <v>0.7875901099897316</v>
      </c>
    </row>
    <row r="187" spans="1:29" ht="12.75" thickBot="1">
      <c r="A187" s="49"/>
      <c r="B187" s="1407"/>
      <c r="C187" s="765" t="str">
        <f t="shared" si="120"/>
        <v>Klimatické změny</v>
      </c>
      <c r="D187" s="766"/>
      <c r="E187" s="1034">
        <f t="shared" si="122"/>
        <v>0.302825720178344</v>
      </c>
      <c r="F187" s="1034">
        <f t="shared" si="123"/>
        <v>0.3058539773801275</v>
      </c>
      <c r="G187" s="1034">
        <f t="shared" si="123"/>
        <v>0.30891251715392876</v>
      </c>
      <c r="H187" s="1034">
        <f aca="true" t="shared" si="130" ref="H187:AC187">G187*(1+H$179)</f>
        <v>0.31200164232546806</v>
      </c>
      <c r="I187" s="1034">
        <f t="shared" si="130"/>
        <v>0.3151216587487227</v>
      </c>
      <c r="J187" s="1034">
        <f t="shared" si="130"/>
        <v>0.31827287533620996</v>
      </c>
      <c r="K187" s="1034">
        <f t="shared" si="130"/>
        <v>0.3214556040895721</v>
      </c>
      <c r="L187" s="1034">
        <f t="shared" si="130"/>
        <v>0.3246701601304678</v>
      </c>
      <c r="M187" s="1034">
        <f t="shared" si="130"/>
        <v>0.3279168617317725</v>
      </c>
      <c r="N187" s="1034">
        <f t="shared" si="130"/>
        <v>0.33119603034909023</v>
      </c>
      <c r="O187" s="1034">
        <f t="shared" si="130"/>
        <v>0.33450799065258113</v>
      </c>
      <c r="P187" s="1034">
        <f t="shared" si="130"/>
        <v>0.33785307055910696</v>
      </c>
      <c r="Q187" s="1034">
        <f t="shared" si="130"/>
        <v>0.34123160126469804</v>
      </c>
      <c r="R187" s="1034">
        <f t="shared" si="130"/>
        <v>0.34123160126469804</v>
      </c>
      <c r="S187" s="1034">
        <f t="shared" si="130"/>
        <v>0.34123160126469804</v>
      </c>
      <c r="T187" s="1034">
        <f t="shared" si="130"/>
        <v>0.34123160126469804</v>
      </c>
      <c r="U187" s="1034">
        <f t="shared" si="130"/>
        <v>0.34123160126469804</v>
      </c>
      <c r="V187" s="1034">
        <f t="shared" si="130"/>
        <v>0.34123160126469804</v>
      </c>
      <c r="W187" s="1034">
        <f t="shared" si="130"/>
        <v>0.34123160126469804</v>
      </c>
      <c r="X187" s="1034">
        <f t="shared" si="130"/>
        <v>0.34123160126469804</v>
      </c>
      <c r="Y187" s="1034">
        <f t="shared" si="130"/>
        <v>0.34123160126469804</v>
      </c>
      <c r="Z187" s="1034">
        <f t="shared" si="130"/>
        <v>0.34123160126469804</v>
      </c>
      <c r="AA187" s="1034">
        <f t="shared" si="130"/>
        <v>0.34123160126469804</v>
      </c>
      <c r="AB187" s="1034">
        <f t="shared" si="130"/>
        <v>0.34123160126469804</v>
      </c>
      <c r="AC187" s="1035">
        <f t="shared" si="130"/>
        <v>0.34123160126469804</v>
      </c>
    </row>
    <row r="188" spans="1:29" ht="12">
      <c r="A188" s="49"/>
      <c r="B188" s="1403" t="str">
        <f>B160</f>
        <v>Osobní silniční</v>
      </c>
      <c r="C188" s="763" t="str">
        <f aca="true" t="shared" si="131" ref="C188:C203">C180</f>
        <v>Nehody</v>
      </c>
      <c r="D188" s="764"/>
      <c r="E188" s="1032">
        <f t="shared" si="122"/>
        <v>2.595430541124492</v>
      </c>
      <c r="F188" s="1032">
        <f t="shared" si="123"/>
        <v>2.6213848465357366</v>
      </c>
      <c r="G188" s="1032">
        <f t="shared" si="123"/>
        <v>2.647598695001094</v>
      </c>
      <c r="H188" s="1032">
        <f aca="true" t="shared" si="132" ref="H188:AC188">G188*(1+H$179)</f>
        <v>2.674074681951105</v>
      </c>
      <c r="I188" s="1032">
        <f t="shared" si="132"/>
        <v>2.700815428770616</v>
      </c>
      <c r="J188" s="1032">
        <f t="shared" si="132"/>
        <v>2.727823583058322</v>
      </c>
      <c r="K188" s="1032">
        <f t="shared" si="132"/>
        <v>2.7551018188889054</v>
      </c>
      <c r="L188" s="1032">
        <f t="shared" si="132"/>
        <v>2.7826528370777943</v>
      </c>
      <c r="M188" s="1032">
        <f t="shared" si="132"/>
        <v>2.8104793654485722</v>
      </c>
      <c r="N188" s="1032">
        <f t="shared" si="132"/>
        <v>2.838584159103058</v>
      </c>
      <c r="O188" s="1032">
        <f t="shared" si="132"/>
        <v>2.8669700006940886</v>
      </c>
      <c r="P188" s="1032">
        <f t="shared" si="132"/>
        <v>2.8956397007010293</v>
      </c>
      <c r="Q188" s="1032">
        <f t="shared" si="132"/>
        <v>2.9245960977080396</v>
      </c>
      <c r="R188" s="1032">
        <f t="shared" si="132"/>
        <v>2.9245960977080396</v>
      </c>
      <c r="S188" s="1032">
        <f t="shared" si="132"/>
        <v>2.9245960977080396</v>
      </c>
      <c r="T188" s="1032">
        <f t="shared" si="132"/>
        <v>2.9245960977080396</v>
      </c>
      <c r="U188" s="1032">
        <f t="shared" si="132"/>
        <v>2.9245960977080396</v>
      </c>
      <c r="V188" s="1032">
        <f t="shared" si="132"/>
        <v>2.9245960977080396</v>
      </c>
      <c r="W188" s="1032">
        <f t="shared" si="132"/>
        <v>2.9245960977080396</v>
      </c>
      <c r="X188" s="1032">
        <f t="shared" si="132"/>
        <v>2.9245960977080396</v>
      </c>
      <c r="Y188" s="1032">
        <f t="shared" si="132"/>
        <v>2.9245960977080396</v>
      </c>
      <c r="Z188" s="1032">
        <f t="shared" si="132"/>
        <v>2.9245960977080396</v>
      </c>
      <c r="AA188" s="1032">
        <f t="shared" si="132"/>
        <v>2.9245960977080396</v>
      </c>
      <c r="AB188" s="1032">
        <f t="shared" si="132"/>
        <v>2.9245960977080396</v>
      </c>
      <c r="AC188" s="1033">
        <f t="shared" si="132"/>
        <v>2.9245960977080396</v>
      </c>
    </row>
    <row r="189" spans="1:29" ht="12">
      <c r="A189" s="49"/>
      <c r="B189" s="1404"/>
      <c r="C189" s="763" t="str">
        <f t="shared" si="131"/>
        <v>Hluk</v>
      </c>
      <c r="D189" s="764"/>
      <c r="E189" s="1032">
        <f t="shared" si="122"/>
        <v>0.41141474105037623</v>
      </c>
      <c r="F189" s="1032">
        <f t="shared" si="123"/>
        <v>0.41552888846088</v>
      </c>
      <c r="G189" s="1032">
        <f t="shared" si="123"/>
        <v>0.4196841773454888</v>
      </c>
      <c r="H189" s="1032">
        <f aca="true" t="shared" si="133" ref="H189:AC189">G189*(1+H$179)</f>
        <v>0.4238810191189437</v>
      </c>
      <c r="I189" s="1032">
        <f t="shared" si="133"/>
        <v>0.42811982931013315</v>
      </c>
      <c r="J189" s="1032">
        <f t="shared" si="133"/>
        <v>0.4324010276032345</v>
      </c>
      <c r="K189" s="1032">
        <f t="shared" si="133"/>
        <v>0.43672503787926686</v>
      </c>
      <c r="L189" s="1032">
        <f t="shared" si="133"/>
        <v>0.4410922882580595</v>
      </c>
      <c r="M189" s="1032">
        <f t="shared" si="133"/>
        <v>0.4455032111406401</v>
      </c>
      <c r="N189" s="1032">
        <f t="shared" si="133"/>
        <v>0.44995824325204653</v>
      </c>
      <c r="O189" s="1032">
        <f t="shared" si="133"/>
        <v>0.454457825684567</v>
      </c>
      <c r="P189" s="1032">
        <f t="shared" si="133"/>
        <v>0.4590024039414127</v>
      </c>
      <c r="Q189" s="1032">
        <f t="shared" si="133"/>
        <v>0.4635924279808268</v>
      </c>
      <c r="R189" s="1032">
        <f t="shared" si="133"/>
        <v>0.4635924279808268</v>
      </c>
      <c r="S189" s="1032">
        <f t="shared" si="133"/>
        <v>0.4635924279808268</v>
      </c>
      <c r="T189" s="1032">
        <f t="shared" si="133"/>
        <v>0.4635924279808268</v>
      </c>
      <c r="U189" s="1032">
        <f t="shared" si="133"/>
        <v>0.4635924279808268</v>
      </c>
      <c r="V189" s="1032">
        <f t="shared" si="133"/>
        <v>0.4635924279808268</v>
      </c>
      <c r="W189" s="1032">
        <f t="shared" si="133"/>
        <v>0.4635924279808268</v>
      </c>
      <c r="X189" s="1032">
        <f t="shared" si="133"/>
        <v>0.4635924279808268</v>
      </c>
      <c r="Y189" s="1032">
        <f t="shared" si="133"/>
        <v>0.4635924279808268</v>
      </c>
      <c r="Z189" s="1032">
        <f t="shared" si="133"/>
        <v>0.4635924279808268</v>
      </c>
      <c r="AA189" s="1032">
        <f t="shared" si="133"/>
        <v>0.4635924279808268</v>
      </c>
      <c r="AB189" s="1032">
        <f t="shared" si="133"/>
        <v>0.4635924279808268</v>
      </c>
      <c r="AC189" s="1033">
        <f t="shared" si="133"/>
        <v>0.4635924279808268</v>
      </c>
    </row>
    <row r="190" spans="1:29" ht="12">
      <c r="A190" s="49"/>
      <c r="B190" s="1404"/>
      <c r="C190" s="763" t="str">
        <f t="shared" si="131"/>
        <v>Znečištění ovzduší</v>
      </c>
      <c r="D190" s="764"/>
      <c r="E190" s="1032">
        <f t="shared" si="122"/>
        <v>1.2480090286137802</v>
      </c>
      <c r="F190" s="1032">
        <f t="shared" si="123"/>
        <v>1.2604891188999179</v>
      </c>
      <c r="G190" s="1032">
        <f t="shared" si="123"/>
        <v>1.273094010088917</v>
      </c>
      <c r="H190" s="1032">
        <f aca="true" t="shared" si="134" ref="H190:AC190">G190*(1+H$179)</f>
        <v>1.2858249501898062</v>
      </c>
      <c r="I190" s="1032">
        <f t="shared" si="134"/>
        <v>1.2986831996917043</v>
      </c>
      <c r="J190" s="1032">
        <f t="shared" si="134"/>
        <v>1.3116700316886214</v>
      </c>
      <c r="K190" s="1032">
        <f t="shared" si="134"/>
        <v>1.3247867320055076</v>
      </c>
      <c r="L190" s="1032">
        <f t="shared" si="134"/>
        <v>1.3380345993255627</v>
      </c>
      <c r="M190" s="1032">
        <f t="shared" si="134"/>
        <v>1.3514149453188182</v>
      </c>
      <c r="N190" s="1032">
        <f t="shared" si="134"/>
        <v>1.3649290947720065</v>
      </c>
      <c r="O190" s="1032">
        <f t="shared" si="134"/>
        <v>1.3785783857197267</v>
      </c>
      <c r="P190" s="1032">
        <f t="shared" si="134"/>
        <v>1.392364169576924</v>
      </c>
      <c r="Q190" s="1032">
        <f t="shared" si="134"/>
        <v>1.4062878112726933</v>
      </c>
      <c r="R190" s="1032">
        <f t="shared" si="134"/>
        <v>1.4062878112726933</v>
      </c>
      <c r="S190" s="1032">
        <f t="shared" si="134"/>
        <v>1.4062878112726933</v>
      </c>
      <c r="T190" s="1032">
        <f t="shared" si="134"/>
        <v>1.4062878112726933</v>
      </c>
      <c r="U190" s="1032">
        <f t="shared" si="134"/>
        <v>1.4062878112726933</v>
      </c>
      <c r="V190" s="1032">
        <f t="shared" si="134"/>
        <v>1.4062878112726933</v>
      </c>
      <c r="W190" s="1032">
        <f t="shared" si="134"/>
        <v>1.4062878112726933</v>
      </c>
      <c r="X190" s="1032">
        <f t="shared" si="134"/>
        <v>1.4062878112726933</v>
      </c>
      <c r="Y190" s="1032">
        <f t="shared" si="134"/>
        <v>1.4062878112726933</v>
      </c>
      <c r="Z190" s="1032">
        <f t="shared" si="134"/>
        <v>1.4062878112726933</v>
      </c>
      <c r="AA190" s="1032">
        <f t="shared" si="134"/>
        <v>1.4062878112726933</v>
      </c>
      <c r="AB190" s="1032">
        <f t="shared" si="134"/>
        <v>1.4062878112726933</v>
      </c>
      <c r="AC190" s="1033">
        <f t="shared" si="134"/>
        <v>1.4062878112726933</v>
      </c>
    </row>
    <row r="191" spans="1:29" ht="12">
      <c r="A191" s="49"/>
      <c r="B191" s="1405"/>
      <c r="C191" s="770" t="str">
        <f t="shared" si="131"/>
        <v>Klimatické změny</v>
      </c>
      <c r="D191" s="771"/>
      <c r="E191" s="1036">
        <f t="shared" si="122"/>
        <v>1.1470671218876667</v>
      </c>
      <c r="F191" s="1036">
        <f t="shared" si="123"/>
        <v>1.1585377931065433</v>
      </c>
      <c r="G191" s="1036">
        <f t="shared" si="123"/>
        <v>1.1701231710376088</v>
      </c>
      <c r="H191" s="1036">
        <f aca="true" t="shared" si="135" ref="H191:AC191">G191*(1+H$179)</f>
        <v>1.181824402747985</v>
      </c>
      <c r="I191" s="1036">
        <f t="shared" si="135"/>
        <v>1.1936426467754648</v>
      </c>
      <c r="J191" s="1036">
        <f t="shared" si="135"/>
        <v>1.2055790732432194</v>
      </c>
      <c r="K191" s="1036">
        <f t="shared" si="135"/>
        <v>1.2176348639756516</v>
      </c>
      <c r="L191" s="1036">
        <f t="shared" si="135"/>
        <v>1.2298112126154082</v>
      </c>
      <c r="M191" s="1036">
        <f t="shared" si="135"/>
        <v>1.2421093247415622</v>
      </c>
      <c r="N191" s="1036">
        <f t="shared" si="135"/>
        <v>1.2545304179889778</v>
      </c>
      <c r="O191" s="1036">
        <f t="shared" si="135"/>
        <v>1.2670757221688675</v>
      </c>
      <c r="P191" s="1036">
        <f t="shared" si="135"/>
        <v>1.2797464793905562</v>
      </c>
      <c r="Q191" s="1036">
        <f t="shared" si="135"/>
        <v>1.2925439441844617</v>
      </c>
      <c r="R191" s="1036">
        <f t="shared" si="135"/>
        <v>1.2925439441844617</v>
      </c>
      <c r="S191" s="1036">
        <f t="shared" si="135"/>
        <v>1.2925439441844617</v>
      </c>
      <c r="T191" s="1036">
        <f t="shared" si="135"/>
        <v>1.2925439441844617</v>
      </c>
      <c r="U191" s="1036">
        <f t="shared" si="135"/>
        <v>1.2925439441844617</v>
      </c>
      <c r="V191" s="1036">
        <f t="shared" si="135"/>
        <v>1.2925439441844617</v>
      </c>
      <c r="W191" s="1036">
        <f t="shared" si="135"/>
        <v>1.2925439441844617</v>
      </c>
      <c r="X191" s="1036">
        <f t="shared" si="135"/>
        <v>1.2925439441844617</v>
      </c>
      <c r="Y191" s="1036">
        <f t="shared" si="135"/>
        <v>1.2925439441844617</v>
      </c>
      <c r="Z191" s="1036">
        <f t="shared" si="135"/>
        <v>1.2925439441844617</v>
      </c>
      <c r="AA191" s="1036">
        <f t="shared" si="135"/>
        <v>1.2925439441844617</v>
      </c>
      <c r="AB191" s="1036">
        <f t="shared" si="135"/>
        <v>1.2925439441844617</v>
      </c>
      <c r="AC191" s="1037">
        <f t="shared" si="135"/>
        <v>1.2925439441844617</v>
      </c>
    </row>
    <row r="192" spans="1:29" ht="12">
      <c r="A192" s="49"/>
      <c r="B192" s="1406" t="str">
        <f>B164</f>
        <v>Nákladní silniční</v>
      </c>
      <c r="C192" s="763" t="str">
        <f t="shared" si="131"/>
        <v>Nehody</v>
      </c>
      <c r="D192" s="764"/>
      <c r="E192" s="1032">
        <f t="shared" si="122"/>
        <v>3.213331740689243</v>
      </c>
      <c r="F192" s="1032">
        <f t="shared" si="123"/>
        <v>3.2454650580961353</v>
      </c>
      <c r="G192" s="1032">
        <f t="shared" si="123"/>
        <v>3.277919708677097</v>
      </c>
      <c r="H192" s="1032">
        <f aca="true" t="shared" si="136" ref="H192:AC192">G192*(1+H$179)</f>
        <v>3.310698905763868</v>
      </c>
      <c r="I192" s="1032">
        <f t="shared" si="136"/>
        <v>3.3438058948215064</v>
      </c>
      <c r="J192" s="1032">
        <f t="shared" si="136"/>
        <v>3.3772439537697214</v>
      </c>
      <c r="K192" s="1032">
        <f t="shared" si="136"/>
        <v>3.4110163933074187</v>
      </c>
      <c r="L192" s="1032">
        <f t="shared" si="136"/>
        <v>3.445126557240493</v>
      </c>
      <c r="M192" s="1032">
        <f t="shared" si="136"/>
        <v>3.4795778228128977</v>
      </c>
      <c r="N192" s="1032">
        <f t="shared" si="136"/>
        <v>3.5143736010410267</v>
      </c>
      <c r="O192" s="1032">
        <f t="shared" si="136"/>
        <v>3.549517337051437</v>
      </c>
      <c r="P192" s="1032">
        <f t="shared" si="136"/>
        <v>3.5850125104219512</v>
      </c>
      <c r="Q192" s="1032">
        <f t="shared" si="136"/>
        <v>3.6208626355261706</v>
      </c>
      <c r="R192" s="1032">
        <f t="shared" si="136"/>
        <v>3.6208626355261706</v>
      </c>
      <c r="S192" s="1032">
        <f t="shared" si="136"/>
        <v>3.6208626355261706</v>
      </c>
      <c r="T192" s="1032">
        <f t="shared" si="136"/>
        <v>3.6208626355261706</v>
      </c>
      <c r="U192" s="1032">
        <f t="shared" si="136"/>
        <v>3.6208626355261706</v>
      </c>
      <c r="V192" s="1032">
        <f t="shared" si="136"/>
        <v>3.6208626355261706</v>
      </c>
      <c r="W192" s="1032">
        <f t="shared" si="136"/>
        <v>3.6208626355261706</v>
      </c>
      <c r="X192" s="1032">
        <f t="shared" si="136"/>
        <v>3.6208626355261706</v>
      </c>
      <c r="Y192" s="1032">
        <f t="shared" si="136"/>
        <v>3.6208626355261706</v>
      </c>
      <c r="Z192" s="1032">
        <f t="shared" si="136"/>
        <v>3.6208626355261706</v>
      </c>
      <c r="AA192" s="1032">
        <f t="shared" si="136"/>
        <v>3.6208626355261706</v>
      </c>
      <c r="AB192" s="1032">
        <f t="shared" si="136"/>
        <v>3.6208626355261706</v>
      </c>
      <c r="AC192" s="1033">
        <f t="shared" si="136"/>
        <v>3.6208626355261706</v>
      </c>
    </row>
    <row r="193" spans="1:29" ht="12">
      <c r="A193" s="49"/>
      <c r="B193" s="1407"/>
      <c r="C193" s="763" t="str">
        <f t="shared" si="131"/>
        <v>Hluk</v>
      </c>
      <c r="D193" s="764"/>
      <c r="E193" s="1032">
        <f t="shared" si="122"/>
        <v>1.0427349435761006</v>
      </c>
      <c r="F193" s="1032">
        <f t="shared" si="123"/>
        <v>1.0531622930118616</v>
      </c>
      <c r="G193" s="1032">
        <f t="shared" si="123"/>
        <v>1.0636939159419803</v>
      </c>
      <c r="H193" s="1032">
        <f aca="true" t="shared" si="137" ref="H193:AC193">G193*(1+H$179)</f>
        <v>1.0743308551014001</v>
      </c>
      <c r="I193" s="1032">
        <f t="shared" si="137"/>
        <v>1.0850741636524142</v>
      </c>
      <c r="J193" s="1032">
        <f t="shared" si="137"/>
        <v>1.0959249052889384</v>
      </c>
      <c r="K193" s="1032">
        <f t="shared" si="137"/>
        <v>1.1068841543418277</v>
      </c>
      <c r="L193" s="1032">
        <f t="shared" si="137"/>
        <v>1.117952995885246</v>
      </c>
      <c r="M193" s="1032">
        <f t="shared" si="137"/>
        <v>1.1291325258440985</v>
      </c>
      <c r="N193" s="1032">
        <f t="shared" si="137"/>
        <v>1.1404238511025395</v>
      </c>
      <c r="O193" s="1032">
        <f t="shared" si="137"/>
        <v>1.1518280896135649</v>
      </c>
      <c r="P193" s="1032">
        <f t="shared" si="137"/>
        <v>1.1633463705097005</v>
      </c>
      <c r="Q193" s="1032">
        <f t="shared" si="137"/>
        <v>1.1749798342147975</v>
      </c>
      <c r="R193" s="1032">
        <f t="shared" si="137"/>
        <v>1.1749798342147975</v>
      </c>
      <c r="S193" s="1032">
        <f t="shared" si="137"/>
        <v>1.1749798342147975</v>
      </c>
      <c r="T193" s="1032">
        <f t="shared" si="137"/>
        <v>1.1749798342147975</v>
      </c>
      <c r="U193" s="1032">
        <f t="shared" si="137"/>
        <v>1.1749798342147975</v>
      </c>
      <c r="V193" s="1032">
        <f t="shared" si="137"/>
        <v>1.1749798342147975</v>
      </c>
      <c r="W193" s="1032">
        <f t="shared" si="137"/>
        <v>1.1749798342147975</v>
      </c>
      <c r="X193" s="1032">
        <f t="shared" si="137"/>
        <v>1.1749798342147975</v>
      </c>
      <c r="Y193" s="1032">
        <f t="shared" si="137"/>
        <v>1.1749798342147975</v>
      </c>
      <c r="Z193" s="1032">
        <f t="shared" si="137"/>
        <v>1.1749798342147975</v>
      </c>
      <c r="AA193" s="1032">
        <f t="shared" si="137"/>
        <v>1.1749798342147975</v>
      </c>
      <c r="AB193" s="1032">
        <f t="shared" si="137"/>
        <v>1.1749798342147975</v>
      </c>
      <c r="AC193" s="1033">
        <f t="shared" si="137"/>
        <v>1.1749798342147975</v>
      </c>
    </row>
    <row r="194" spans="1:29" ht="12">
      <c r="A194" s="49"/>
      <c r="B194" s="1407"/>
      <c r="C194" s="763" t="str">
        <f t="shared" si="131"/>
        <v>Znečištění ovzduší</v>
      </c>
      <c r="D194" s="764"/>
      <c r="E194" s="1032">
        <f t="shared" si="122"/>
        <v>3.826459305719546</v>
      </c>
      <c r="F194" s="1032">
        <f t="shared" si="123"/>
        <v>3.8647238987767416</v>
      </c>
      <c r="G194" s="1032">
        <f t="shared" si="123"/>
        <v>3.903371137764509</v>
      </c>
      <c r="H194" s="1032">
        <f aca="true" t="shared" si="138" ref="H194:AC194">G194*(1+H$179)</f>
        <v>3.942404849142154</v>
      </c>
      <c r="I194" s="1032">
        <f t="shared" si="138"/>
        <v>3.9818288976335756</v>
      </c>
      <c r="J194" s="1032">
        <f t="shared" si="138"/>
        <v>4.021647186609911</v>
      </c>
      <c r="K194" s="1032">
        <f t="shared" si="138"/>
        <v>4.06186365847601</v>
      </c>
      <c r="L194" s="1032">
        <f t="shared" si="138"/>
        <v>4.102482295060771</v>
      </c>
      <c r="M194" s="1032">
        <f t="shared" si="138"/>
        <v>4.143507118011378</v>
      </c>
      <c r="N194" s="1032">
        <f t="shared" si="138"/>
        <v>4.184942189191492</v>
      </c>
      <c r="O194" s="1032">
        <f t="shared" si="138"/>
        <v>4.226791611083407</v>
      </c>
      <c r="P194" s="1032">
        <f t="shared" si="138"/>
        <v>4.2690595271942415</v>
      </c>
      <c r="Q194" s="1032">
        <f t="shared" si="138"/>
        <v>4.311750122466184</v>
      </c>
      <c r="R194" s="1032">
        <f t="shared" si="138"/>
        <v>4.311750122466184</v>
      </c>
      <c r="S194" s="1032">
        <f t="shared" si="138"/>
        <v>4.311750122466184</v>
      </c>
      <c r="T194" s="1032">
        <f t="shared" si="138"/>
        <v>4.311750122466184</v>
      </c>
      <c r="U194" s="1032">
        <f t="shared" si="138"/>
        <v>4.311750122466184</v>
      </c>
      <c r="V194" s="1032">
        <f t="shared" si="138"/>
        <v>4.311750122466184</v>
      </c>
      <c r="W194" s="1032">
        <f t="shared" si="138"/>
        <v>4.311750122466184</v>
      </c>
      <c r="X194" s="1032">
        <f t="shared" si="138"/>
        <v>4.311750122466184</v>
      </c>
      <c r="Y194" s="1032">
        <f t="shared" si="138"/>
        <v>4.311750122466184</v>
      </c>
      <c r="Z194" s="1032">
        <f t="shared" si="138"/>
        <v>4.311750122466184</v>
      </c>
      <c r="AA194" s="1032">
        <f t="shared" si="138"/>
        <v>4.311750122466184</v>
      </c>
      <c r="AB194" s="1032">
        <f t="shared" si="138"/>
        <v>4.311750122466184</v>
      </c>
      <c r="AC194" s="1033">
        <f t="shared" si="138"/>
        <v>4.311750122466184</v>
      </c>
    </row>
    <row r="195" spans="1:29" ht="12.75" thickBot="1">
      <c r="A195" s="49"/>
      <c r="B195" s="1408"/>
      <c r="C195" s="765" t="str">
        <f t="shared" si="131"/>
        <v>Klimatické změny</v>
      </c>
      <c r="D195" s="766"/>
      <c r="E195" s="1034">
        <f t="shared" si="122"/>
        <v>3.9144381304300664</v>
      </c>
      <c r="F195" s="1034">
        <f t="shared" si="123"/>
        <v>3.9535825117343673</v>
      </c>
      <c r="G195" s="1034">
        <f t="shared" si="123"/>
        <v>3.993118336851711</v>
      </c>
      <c r="H195" s="1034">
        <f aca="true" t="shared" si="139" ref="H195:AC195">G195*(1+H$179)</f>
        <v>4.033049520220228</v>
      </c>
      <c r="I195" s="1034">
        <f t="shared" si="139"/>
        <v>4.07338001542243</v>
      </c>
      <c r="J195" s="1034">
        <f t="shared" si="139"/>
        <v>4.114113815576654</v>
      </c>
      <c r="K195" s="1034">
        <f t="shared" si="139"/>
        <v>4.15525495373242</v>
      </c>
      <c r="L195" s="1034">
        <f t="shared" si="139"/>
        <v>4.196807503269745</v>
      </c>
      <c r="M195" s="1034">
        <f t="shared" si="139"/>
        <v>4.238775578302442</v>
      </c>
      <c r="N195" s="1034">
        <f t="shared" si="139"/>
        <v>4.281163334085466</v>
      </c>
      <c r="O195" s="1034">
        <f t="shared" si="139"/>
        <v>4.323974967426321</v>
      </c>
      <c r="P195" s="1034">
        <f t="shared" si="139"/>
        <v>4.367214717100584</v>
      </c>
      <c r="Q195" s="1034">
        <f t="shared" si="139"/>
        <v>4.41088686427159</v>
      </c>
      <c r="R195" s="1034">
        <f t="shared" si="139"/>
        <v>4.41088686427159</v>
      </c>
      <c r="S195" s="1034">
        <f t="shared" si="139"/>
        <v>4.41088686427159</v>
      </c>
      <c r="T195" s="1034">
        <f t="shared" si="139"/>
        <v>4.41088686427159</v>
      </c>
      <c r="U195" s="1034">
        <f t="shared" si="139"/>
        <v>4.41088686427159</v>
      </c>
      <c r="V195" s="1034">
        <f t="shared" si="139"/>
        <v>4.41088686427159</v>
      </c>
      <c r="W195" s="1034">
        <f t="shared" si="139"/>
        <v>4.41088686427159</v>
      </c>
      <c r="X195" s="1034">
        <f t="shared" si="139"/>
        <v>4.41088686427159</v>
      </c>
      <c r="Y195" s="1034">
        <f t="shared" si="139"/>
        <v>4.41088686427159</v>
      </c>
      <c r="Z195" s="1034">
        <f t="shared" si="139"/>
        <v>4.41088686427159</v>
      </c>
      <c r="AA195" s="1034">
        <f t="shared" si="139"/>
        <v>4.41088686427159</v>
      </c>
      <c r="AB195" s="1034">
        <f t="shared" si="139"/>
        <v>4.41088686427159</v>
      </c>
      <c r="AC195" s="1035">
        <f t="shared" si="139"/>
        <v>4.41088686427159</v>
      </c>
    </row>
    <row r="196" spans="1:29" ht="12">
      <c r="A196" s="49"/>
      <c r="B196" s="1404" t="str">
        <f>B168</f>
        <v>Osobní železniční</v>
      </c>
      <c r="C196" s="763" t="str">
        <f t="shared" si="131"/>
        <v>Nehody</v>
      </c>
      <c r="D196" s="764"/>
      <c r="E196" s="1032">
        <f t="shared" si="122"/>
        <v>0.06423575882570932</v>
      </c>
      <c r="F196" s="1032">
        <f t="shared" si="123"/>
        <v>0.06487811641396642</v>
      </c>
      <c r="G196" s="1032">
        <f t="shared" si="123"/>
        <v>0.06552689757810608</v>
      </c>
      <c r="H196" s="1032">
        <f aca="true" t="shared" si="140" ref="H196:AC196">G196*(1+H$179)</f>
        <v>0.06618216655388715</v>
      </c>
      <c r="I196" s="1032">
        <f t="shared" si="140"/>
        <v>0.06684398821942601</v>
      </c>
      <c r="J196" s="1032">
        <f t="shared" si="140"/>
        <v>0.06751242810162027</v>
      </c>
      <c r="K196" s="1032">
        <f t="shared" si="140"/>
        <v>0.06818755238263648</v>
      </c>
      <c r="L196" s="1032">
        <f t="shared" si="140"/>
        <v>0.06886942790646285</v>
      </c>
      <c r="M196" s="1032">
        <f t="shared" si="140"/>
        <v>0.06955812218552747</v>
      </c>
      <c r="N196" s="1032">
        <f t="shared" si="140"/>
        <v>0.07025370340738274</v>
      </c>
      <c r="O196" s="1032">
        <f t="shared" si="140"/>
        <v>0.07095624044145657</v>
      </c>
      <c r="P196" s="1032">
        <f t="shared" si="140"/>
        <v>0.07166580284587114</v>
      </c>
      <c r="Q196" s="1032">
        <f t="shared" si="140"/>
        <v>0.07238246087432985</v>
      </c>
      <c r="R196" s="1032">
        <f t="shared" si="140"/>
        <v>0.07238246087432985</v>
      </c>
      <c r="S196" s="1032">
        <f t="shared" si="140"/>
        <v>0.07238246087432985</v>
      </c>
      <c r="T196" s="1032">
        <f t="shared" si="140"/>
        <v>0.07238246087432985</v>
      </c>
      <c r="U196" s="1032">
        <f t="shared" si="140"/>
        <v>0.07238246087432985</v>
      </c>
      <c r="V196" s="1032">
        <f t="shared" si="140"/>
        <v>0.07238246087432985</v>
      </c>
      <c r="W196" s="1032">
        <f t="shared" si="140"/>
        <v>0.07238246087432985</v>
      </c>
      <c r="X196" s="1032">
        <f t="shared" si="140"/>
        <v>0.07238246087432985</v>
      </c>
      <c r="Y196" s="1032">
        <f t="shared" si="140"/>
        <v>0.07238246087432985</v>
      </c>
      <c r="Z196" s="1032">
        <f t="shared" si="140"/>
        <v>0.07238246087432985</v>
      </c>
      <c r="AA196" s="1032">
        <f t="shared" si="140"/>
        <v>0.07238246087432985</v>
      </c>
      <c r="AB196" s="1032">
        <f t="shared" si="140"/>
        <v>0.07238246087432985</v>
      </c>
      <c r="AC196" s="1033">
        <f t="shared" si="140"/>
        <v>0.07238246087432985</v>
      </c>
    </row>
    <row r="197" spans="1:29" ht="12">
      <c r="A197" s="49"/>
      <c r="B197" s="1404"/>
      <c r="C197" s="763" t="str">
        <f t="shared" si="131"/>
        <v>Hluk</v>
      </c>
      <c r="D197" s="764"/>
      <c r="E197" s="1032">
        <f t="shared" si="122"/>
        <v>0.2814138005697741</v>
      </c>
      <c r="F197" s="1032">
        <f t="shared" si="123"/>
        <v>0.28422793857547185</v>
      </c>
      <c r="G197" s="1032">
        <f t="shared" si="123"/>
        <v>0.28707021796122656</v>
      </c>
      <c r="H197" s="1032">
        <f aca="true" t="shared" si="141" ref="H197:AC197">G197*(1+H$179)</f>
        <v>0.28994092014083883</v>
      </c>
      <c r="I197" s="1032">
        <f t="shared" si="141"/>
        <v>0.29284032934224724</v>
      </c>
      <c r="J197" s="1032">
        <f t="shared" si="141"/>
        <v>0.2957687326356697</v>
      </c>
      <c r="K197" s="1032">
        <f t="shared" si="141"/>
        <v>0.2987264199620264</v>
      </c>
      <c r="L197" s="1032">
        <f t="shared" si="141"/>
        <v>0.3017136841616467</v>
      </c>
      <c r="M197" s="1032">
        <f t="shared" si="141"/>
        <v>0.30473082100326315</v>
      </c>
      <c r="N197" s="1032">
        <f t="shared" si="141"/>
        <v>0.3077781292132958</v>
      </c>
      <c r="O197" s="1032">
        <f t="shared" si="141"/>
        <v>0.31085591050542877</v>
      </c>
      <c r="P197" s="1032">
        <f t="shared" si="141"/>
        <v>0.3139644696104831</v>
      </c>
      <c r="Q197" s="1032">
        <f t="shared" si="141"/>
        <v>0.3171041143065879</v>
      </c>
      <c r="R197" s="1032">
        <f t="shared" si="141"/>
        <v>0.3171041143065879</v>
      </c>
      <c r="S197" s="1032">
        <f t="shared" si="141"/>
        <v>0.3171041143065879</v>
      </c>
      <c r="T197" s="1032">
        <f t="shared" si="141"/>
        <v>0.3171041143065879</v>
      </c>
      <c r="U197" s="1032">
        <f t="shared" si="141"/>
        <v>0.3171041143065879</v>
      </c>
      <c r="V197" s="1032">
        <f t="shared" si="141"/>
        <v>0.3171041143065879</v>
      </c>
      <c r="W197" s="1032">
        <f t="shared" si="141"/>
        <v>0.3171041143065879</v>
      </c>
      <c r="X197" s="1032">
        <f t="shared" si="141"/>
        <v>0.3171041143065879</v>
      </c>
      <c r="Y197" s="1032">
        <f t="shared" si="141"/>
        <v>0.3171041143065879</v>
      </c>
      <c r="Z197" s="1032">
        <f t="shared" si="141"/>
        <v>0.3171041143065879</v>
      </c>
      <c r="AA197" s="1032">
        <f t="shared" si="141"/>
        <v>0.3171041143065879</v>
      </c>
      <c r="AB197" s="1032">
        <f t="shared" si="141"/>
        <v>0.3171041143065879</v>
      </c>
      <c r="AC197" s="1033">
        <f t="shared" si="141"/>
        <v>0.3171041143065879</v>
      </c>
    </row>
    <row r="198" spans="1:29" ht="12">
      <c r="A198" s="49"/>
      <c r="B198" s="1404"/>
      <c r="C198" s="763" t="str">
        <f t="shared" si="131"/>
        <v>Znečištění ovzduší</v>
      </c>
      <c r="D198" s="764"/>
      <c r="E198" s="1032">
        <f t="shared" si="122"/>
        <v>0.3532966735414013</v>
      </c>
      <c r="F198" s="1032">
        <f t="shared" si="123"/>
        <v>0.35682964027681535</v>
      </c>
      <c r="G198" s="1032">
        <f t="shared" si="123"/>
        <v>0.36039793667958353</v>
      </c>
      <c r="H198" s="1032">
        <f aca="true" t="shared" si="142" ref="H198:AC198">G198*(1+H$179)</f>
        <v>0.3640019160463794</v>
      </c>
      <c r="I198" s="1032">
        <f t="shared" si="142"/>
        <v>0.3676419352068432</v>
      </c>
      <c r="J198" s="1032">
        <f t="shared" si="142"/>
        <v>0.3713183545589116</v>
      </c>
      <c r="K198" s="1032">
        <f t="shared" si="142"/>
        <v>0.37503153810450074</v>
      </c>
      <c r="L198" s="1032">
        <f t="shared" si="142"/>
        <v>0.37878185348554577</v>
      </c>
      <c r="M198" s="1032">
        <f t="shared" si="142"/>
        <v>0.3825696720204012</v>
      </c>
      <c r="N198" s="1032">
        <f t="shared" si="142"/>
        <v>0.3863953687406052</v>
      </c>
      <c r="O198" s="1032">
        <f t="shared" si="142"/>
        <v>0.39025932242801126</v>
      </c>
      <c r="P198" s="1032">
        <f t="shared" si="142"/>
        <v>0.39416191565229136</v>
      </c>
      <c r="Q198" s="1032">
        <f t="shared" si="142"/>
        <v>0.3981035348088143</v>
      </c>
      <c r="R198" s="1032">
        <f t="shared" si="142"/>
        <v>0.3981035348088143</v>
      </c>
      <c r="S198" s="1032">
        <f t="shared" si="142"/>
        <v>0.3981035348088143</v>
      </c>
      <c r="T198" s="1032">
        <f t="shared" si="142"/>
        <v>0.3981035348088143</v>
      </c>
      <c r="U198" s="1032">
        <f t="shared" si="142"/>
        <v>0.3981035348088143</v>
      </c>
      <c r="V198" s="1032">
        <f t="shared" si="142"/>
        <v>0.3981035348088143</v>
      </c>
      <c r="W198" s="1032">
        <f t="shared" si="142"/>
        <v>0.3981035348088143</v>
      </c>
      <c r="X198" s="1032">
        <f t="shared" si="142"/>
        <v>0.3981035348088143</v>
      </c>
      <c r="Y198" s="1032">
        <f t="shared" si="142"/>
        <v>0.3981035348088143</v>
      </c>
      <c r="Z198" s="1032">
        <f t="shared" si="142"/>
        <v>0.3981035348088143</v>
      </c>
      <c r="AA198" s="1032">
        <f t="shared" si="142"/>
        <v>0.3981035348088143</v>
      </c>
      <c r="AB198" s="1032">
        <f t="shared" si="142"/>
        <v>0.3981035348088143</v>
      </c>
      <c r="AC198" s="1033">
        <f t="shared" si="142"/>
        <v>0.3981035348088143</v>
      </c>
    </row>
    <row r="199" spans="1:29" ht="12">
      <c r="A199" s="49"/>
      <c r="B199" s="1405"/>
      <c r="C199" s="770" t="str">
        <f t="shared" si="131"/>
        <v>Klimatické změny</v>
      </c>
      <c r="D199" s="771"/>
      <c r="E199" s="1036">
        <f t="shared" si="122"/>
        <v>0.3823557072958888</v>
      </c>
      <c r="F199" s="1036">
        <f t="shared" si="123"/>
        <v>0.3861792643688477</v>
      </c>
      <c r="G199" s="1036">
        <f t="shared" si="123"/>
        <v>0.39004105701253616</v>
      </c>
      <c r="H199" s="1036">
        <f aca="true" t="shared" si="143" ref="H199:AC199">G199*(1+H$179)</f>
        <v>0.3939414675826615</v>
      </c>
      <c r="I199" s="1036">
        <f t="shared" si="143"/>
        <v>0.3978808822584881</v>
      </c>
      <c r="J199" s="1036">
        <f t="shared" si="143"/>
        <v>0.401859691081073</v>
      </c>
      <c r="K199" s="1036">
        <f t="shared" si="143"/>
        <v>0.40587828799188375</v>
      </c>
      <c r="L199" s="1036">
        <f t="shared" si="143"/>
        <v>0.4099370708718026</v>
      </c>
      <c r="M199" s="1036">
        <f t="shared" si="143"/>
        <v>0.4140364415805206</v>
      </c>
      <c r="N199" s="1036">
        <f t="shared" si="143"/>
        <v>0.41817680599632584</v>
      </c>
      <c r="O199" s="1036">
        <f t="shared" si="143"/>
        <v>0.4223585740562891</v>
      </c>
      <c r="P199" s="1036">
        <f t="shared" si="143"/>
        <v>0.42658215979685205</v>
      </c>
      <c r="Q199" s="1036">
        <f t="shared" si="143"/>
        <v>0.43084798139482056</v>
      </c>
      <c r="R199" s="1036">
        <f t="shared" si="143"/>
        <v>0.43084798139482056</v>
      </c>
      <c r="S199" s="1036">
        <f t="shared" si="143"/>
        <v>0.43084798139482056</v>
      </c>
      <c r="T199" s="1036">
        <f t="shared" si="143"/>
        <v>0.43084798139482056</v>
      </c>
      <c r="U199" s="1036">
        <f t="shared" si="143"/>
        <v>0.43084798139482056</v>
      </c>
      <c r="V199" s="1036">
        <f t="shared" si="143"/>
        <v>0.43084798139482056</v>
      </c>
      <c r="W199" s="1036">
        <f t="shared" si="143"/>
        <v>0.43084798139482056</v>
      </c>
      <c r="X199" s="1036">
        <f t="shared" si="143"/>
        <v>0.43084798139482056</v>
      </c>
      <c r="Y199" s="1036">
        <f t="shared" si="143"/>
        <v>0.43084798139482056</v>
      </c>
      <c r="Z199" s="1036">
        <f t="shared" si="143"/>
        <v>0.43084798139482056</v>
      </c>
      <c r="AA199" s="1036">
        <f t="shared" si="143"/>
        <v>0.43084798139482056</v>
      </c>
      <c r="AB199" s="1036">
        <f t="shared" si="143"/>
        <v>0.43084798139482056</v>
      </c>
      <c r="AC199" s="1037">
        <f t="shared" si="143"/>
        <v>0.43084798139482056</v>
      </c>
    </row>
    <row r="200" spans="1:29" ht="12">
      <c r="A200" s="49"/>
      <c r="B200" s="1406" t="str">
        <f>B172</f>
        <v>Nákladní železniční</v>
      </c>
      <c r="C200" s="763" t="str">
        <f t="shared" si="131"/>
        <v>Nehody</v>
      </c>
      <c r="D200" s="764"/>
      <c r="E200" s="1032">
        <f t="shared" si="122"/>
        <v>0</v>
      </c>
      <c r="F200" s="1032">
        <f t="shared" si="123"/>
        <v>0</v>
      </c>
      <c r="G200" s="1032">
        <f t="shared" si="123"/>
        <v>0</v>
      </c>
      <c r="H200" s="1032">
        <f aca="true" t="shared" si="144" ref="H200:AC200">G200*(1+H$179)</f>
        <v>0</v>
      </c>
      <c r="I200" s="1032">
        <f t="shared" si="144"/>
        <v>0</v>
      </c>
      <c r="J200" s="1032">
        <f t="shared" si="144"/>
        <v>0</v>
      </c>
      <c r="K200" s="1032">
        <f t="shared" si="144"/>
        <v>0</v>
      </c>
      <c r="L200" s="1032">
        <f t="shared" si="144"/>
        <v>0</v>
      </c>
      <c r="M200" s="1032">
        <f t="shared" si="144"/>
        <v>0</v>
      </c>
      <c r="N200" s="1032">
        <f t="shared" si="144"/>
        <v>0</v>
      </c>
      <c r="O200" s="1032">
        <f t="shared" si="144"/>
        <v>0</v>
      </c>
      <c r="P200" s="1032">
        <f t="shared" si="144"/>
        <v>0</v>
      </c>
      <c r="Q200" s="1032">
        <f t="shared" si="144"/>
        <v>0</v>
      </c>
      <c r="R200" s="1032">
        <f t="shared" si="144"/>
        <v>0</v>
      </c>
      <c r="S200" s="1032">
        <f t="shared" si="144"/>
        <v>0</v>
      </c>
      <c r="T200" s="1032">
        <f t="shared" si="144"/>
        <v>0</v>
      </c>
      <c r="U200" s="1032">
        <f t="shared" si="144"/>
        <v>0</v>
      </c>
      <c r="V200" s="1032">
        <f t="shared" si="144"/>
        <v>0</v>
      </c>
      <c r="W200" s="1032">
        <f t="shared" si="144"/>
        <v>0</v>
      </c>
      <c r="X200" s="1032">
        <f t="shared" si="144"/>
        <v>0</v>
      </c>
      <c r="Y200" s="1032">
        <f t="shared" si="144"/>
        <v>0</v>
      </c>
      <c r="Z200" s="1032">
        <f t="shared" si="144"/>
        <v>0</v>
      </c>
      <c r="AA200" s="1032">
        <f t="shared" si="144"/>
        <v>0</v>
      </c>
      <c r="AB200" s="1032">
        <f t="shared" si="144"/>
        <v>0</v>
      </c>
      <c r="AC200" s="1033">
        <f t="shared" si="144"/>
        <v>0</v>
      </c>
    </row>
    <row r="201" spans="1:29" ht="12">
      <c r="A201" s="49"/>
      <c r="B201" s="1407"/>
      <c r="C201" s="763" t="str">
        <f t="shared" si="131"/>
        <v>Hluk</v>
      </c>
      <c r="D201" s="764"/>
      <c r="E201" s="1032">
        <f t="shared" si="122"/>
        <v>0</v>
      </c>
      <c r="F201" s="1032">
        <f t="shared" si="123"/>
        <v>0</v>
      </c>
      <c r="G201" s="1032">
        <f t="shared" si="123"/>
        <v>0</v>
      </c>
      <c r="H201" s="1032">
        <f aca="true" t="shared" si="145" ref="H201:AC201">G201*(1+H$179)</f>
        <v>0</v>
      </c>
      <c r="I201" s="1032">
        <f t="shared" si="145"/>
        <v>0</v>
      </c>
      <c r="J201" s="1032">
        <f t="shared" si="145"/>
        <v>0</v>
      </c>
      <c r="K201" s="1032">
        <f t="shared" si="145"/>
        <v>0</v>
      </c>
      <c r="L201" s="1032">
        <f t="shared" si="145"/>
        <v>0</v>
      </c>
      <c r="M201" s="1032">
        <f t="shared" si="145"/>
        <v>0</v>
      </c>
      <c r="N201" s="1032">
        <f t="shared" si="145"/>
        <v>0</v>
      </c>
      <c r="O201" s="1032">
        <f t="shared" si="145"/>
        <v>0</v>
      </c>
      <c r="P201" s="1032">
        <f t="shared" si="145"/>
        <v>0</v>
      </c>
      <c r="Q201" s="1032">
        <f t="shared" si="145"/>
        <v>0</v>
      </c>
      <c r="R201" s="1032">
        <f t="shared" si="145"/>
        <v>0</v>
      </c>
      <c r="S201" s="1032">
        <f t="shared" si="145"/>
        <v>0</v>
      </c>
      <c r="T201" s="1032">
        <f t="shared" si="145"/>
        <v>0</v>
      </c>
      <c r="U201" s="1032">
        <f t="shared" si="145"/>
        <v>0</v>
      </c>
      <c r="V201" s="1032">
        <f t="shared" si="145"/>
        <v>0</v>
      </c>
      <c r="W201" s="1032">
        <f t="shared" si="145"/>
        <v>0</v>
      </c>
      <c r="X201" s="1032">
        <f t="shared" si="145"/>
        <v>0</v>
      </c>
      <c r="Y201" s="1032">
        <f t="shared" si="145"/>
        <v>0</v>
      </c>
      <c r="Z201" s="1032">
        <f t="shared" si="145"/>
        <v>0</v>
      </c>
      <c r="AA201" s="1032">
        <f t="shared" si="145"/>
        <v>0</v>
      </c>
      <c r="AB201" s="1032">
        <f t="shared" si="145"/>
        <v>0</v>
      </c>
      <c r="AC201" s="1033">
        <f t="shared" si="145"/>
        <v>0</v>
      </c>
    </row>
    <row r="202" spans="1:29" ht="12">
      <c r="A202" s="49"/>
      <c r="B202" s="1407"/>
      <c r="C202" s="763" t="str">
        <f t="shared" si="131"/>
        <v>Znečištění ovzduší</v>
      </c>
      <c r="D202" s="764"/>
      <c r="E202" s="1032">
        <f t="shared" si="122"/>
        <v>0.6989462329368846</v>
      </c>
      <c r="F202" s="1032">
        <f t="shared" si="123"/>
        <v>0.7059356952662534</v>
      </c>
      <c r="G202" s="1032">
        <f t="shared" si="123"/>
        <v>0.712995052218916</v>
      </c>
      <c r="H202" s="1032">
        <f aca="true" t="shared" si="146" ref="H202:AC202">G202*(1+H$179)</f>
        <v>0.7201250027411051</v>
      </c>
      <c r="I202" s="1032">
        <f t="shared" si="146"/>
        <v>0.7273262527685161</v>
      </c>
      <c r="J202" s="1032">
        <f t="shared" si="146"/>
        <v>0.7345995152962013</v>
      </c>
      <c r="K202" s="1032">
        <f t="shared" si="146"/>
        <v>0.7419455104491632</v>
      </c>
      <c r="L202" s="1032">
        <f t="shared" si="146"/>
        <v>0.7493649655536548</v>
      </c>
      <c r="M202" s="1032">
        <f t="shared" si="146"/>
        <v>0.7568586152091914</v>
      </c>
      <c r="N202" s="1032">
        <f t="shared" si="146"/>
        <v>0.7644272013612833</v>
      </c>
      <c r="O202" s="1032">
        <f t="shared" si="146"/>
        <v>0.7720714733748961</v>
      </c>
      <c r="P202" s="1032">
        <f t="shared" si="146"/>
        <v>0.7797921881086451</v>
      </c>
      <c r="Q202" s="1032">
        <f t="shared" si="146"/>
        <v>0.7875901099897316</v>
      </c>
      <c r="R202" s="1032">
        <f t="shared" si="146"/>
        <v>0.7875901099897316</v>
      </c>
      <c r="S202" s="1032">
        <f t="shared" si="146"/>
        <v>0.7875901099897316</v>
      </c>
      <c r="T202" s="1032">
        <f t="shared" si="146"/>
        <v>0.7875901099897316</v>
      </c>
      <c r="U202" s="1032">
        <f t="shared" si="146"/>
        <v>0.7875901099897316</v>
      </c>
      <c r="V202" s="1032">
        <f t="shared" si="146"/>
        <v>0.7875901099897316</v>
      </c>
      <c r="W202" s="1032">
        <f t="shared" si="146"/>
        <v>0.7875901099897316</v>
      </c>
      <c r="X202" s="1032">
        <f t="shared" si="146"/>
        <v>0.7875901099897316</v>
      </c>
      <c r="Y202" s="1032">
        <f t="shared" si="146"/>
        <v>0.7875901099897316</v>
      </c>
      <c r="Z202" s="1032">
        <f t="shared" si="146"/>
        <v>0.7875901099897316</v>
      </c>
      <c r="AA202" s="1032">
        <f t="shared" si="146"/>
        <v>0.7875901099897316</v>
      </c>
      <c r="AB202" s="1032">
        <f t="shared" si="146"/>
        <v>0.7875901099897316</v>
      </c>
      <c r="AC202" s="1033">
        <f t="shared" si="146"/>
        <v>0.7875901099897316</v>
      </c>
    </row>
    <row r="203" spans="1:29" ht="12.75" thickBot="1">
      <c r="A203" s="49"/>
      <c r="B203" s="1407"/>
      <c r="C203" s="763" t="str">
        <f t="shared" si="131"/>
        <v>Klimatické změny</v>
      </c>
      <c r="D203" s="766"/>
      <c r="E203" s="1034">
        <f t="shared" si="122"/>
        <v>0.302825720178344</v>
      </c>
      <c r="F203" s="1034">
        <f t="shared" si="123"/>
        <v>0.3058539773801275</v>
      </c>
      <c r="G203" s="1034">
        <f t="shared" si="123"/>
        <v>0.30891251715392876</v>
      </c>
      <c r="H203" s="1034">
        <f aca="true" t="shared" si="147" ref="H203:AC203">G203*(1+H$179)</f>
        <v>0.31200164232546806</v>
      </c>
      <c r="I203" s="1034">
        <f t="shared" si="147"/>
        <v>0.3151216587487227</v>
      </c>
      <c r="J203" s="1034">
        <f t="shared" si="147"/>
        <v>0.31827287533620996</v>
      </c>
      <c r="K203" s="1034">
        <f t="shared" si="147"/>
        <v>0.3214556040895721</v>
      </c>
      <c r="L203" s="1034">
        <f t="shared" si="147"/>
        <v>0.3246701601304678</v>
      </c>
      <c r="M203" s="1034">
        <f t="shared" si="147"/>
        <v>0.3279168617317725</v>
      </c>
      <c r="N203" s="1034">
        <f t="shared" si="147"/>
        <v>0.33119603034909023</v>
      </c>
      <c r="O203" s="1034">
        <f t="shared" si="147"/>
        <v>0.33450799065258113</v>
      </c>
      <c r="P203" s="1034">
        <f t="shared" si="147"/>
        <v>0.33785307055910696</v>
      </c>
      <c r="Q203" s="1034">
        <f t="shared" si="147"/>
        <v>0.34123160126469804</v>
      </c>
      <c r="R203" s="1034">
        <f t="shared" si="147"/>
        <v>0.34123160126469804</v>
      </c>
      <c r="S203" s="1034">
        <f t="shared" si="147"/>
        <v>0.34123160126469804</v>
      </c>
      <c r="T203" s="1034">
        <f t="shared" si="147"/>
        <v>0.34123160126469804</v>
      </c>
      <c r="U203" s="1034">
        <f t="shared" si="147"/>
        <v>0.34123160126469804</v>
      </c>
      <c r="V203" s="1034">
        <f t="shared" si="147"/>
        <v>0.34123160126469804</v>
      </c>
      <c r="W203" s="1034">
        <f t="shared" si="147"/>
        <v>0.34123160126469804</v>
      </c>
      <c r="X203" s="1034">
        <f t="shared" si="147"/>
        <v>0.34123160126469804</v>
      </c>
      <c r="Y203" s="1034">
        <f t="shared" si="147"/>
        <v>0.34123160126469804</v>
      </c>
      <c r="Z203" s="1034">
        <f t="shared" si="147"/>
        <v>0.34123160126469804</v>
      </c>
      <c r="AA203" s="1034">
        <f t="shared" si="147"/>
        <v>0.34123160126469804</v>
      </c>
      <c r="AB203" s="1034">
        <f t="shared" si="147"/>
        <v>0.34123160126469804</v>
      </c>
      <c r="AC203" s="1035">
        <f t="shared" si="147"/>
        <v>0.34123160126469804</v>
      </c>
    </row>
    <row r="204" spans="1:29" ht="11.25">
      <c r="A204" s="49"/>
      <c r="B204" s="440"/>
      <c r="C204" s="440"/>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row>
  </sheetData>
  <sheetProtection/>
  <mergeCells count="342">
    <mergeCell ref="F149:F150"/>
    <mergeCell ref="G149:G150"/>
    <mergeCell ref="H149:H150"/>
    <mergeCell ref="E2:E3"/>
    <mergeCell ref="F2:F3"/>
    <mergeCell ref="E14:E15"/>
    <mergeCell ref="F14:F15"/>
    <mergeCell ref="G14:G15"/>
    <mergeCell ref="H14:H15"/>
    <mergeCell ref="G2:G3"/>
    <mergeCell ref="E64:E65"/>
    <mergeCell ref="F64:F65"/>
    <mergeCell ref="G64:G65"/>
    <mergeCell ref="H64:H65"/>
    <mergeCell ref="E27:E28"/>
    <mergeCell ref="E52:E53"/>
    <mergeCell ref="E39:E40"/>
    <mergeCell ref="E125:E126"/>
    <mergeCell ref="F125:F126"/>
    <mergeCell ref="G125:G126"/>
    <mergeCell ref="H125:H126"/>
    <mergeCell ref="E134:E135"/>
    <mergeCell ref="F134:F135"/>
    <mergeCell ref="G134:G135"/>
    <mergeCell ref="J90:M90"/>
    <mergeCell ref="B66:B69"/>
    <mergeCell ref="B70:B73"/>
    <mergeCell ref="C91:G91"/>
    <mergeCell ref="C97:G97"/>
    <mergeCell ref="I91:M91"/>
    <mergeCell ref="I97:M97"/>
    <mergeCell ref="E106:E107"/>
    <mergeCell ref="F106:F107"/>
    <mergeCell ref="C77:G77"/>
    <mergeCell ref="L106:L107"/>
    <mergeCell ref="M106:M107"/>
    <mergeCell ref="J106:J107"/>
    <mergeCell ref="K106:K107"/>
    <mergeCell ref="C83:G83"/>
    <mergeCell ref="G106:G107"/>
    <mergeCell ref="H106:H107"/>
    <mergeCell ref="I106:I107"/>
    <mergeCell ref="C90:G90"/>
    <mergeCell ref="B54:B57"/>
    <mergeCell ref="B58:B61"/>
    <mergeCell ref="B29:B32"/>
    <mergeCell ref="B33:B36"/>
    <mergeCell ref="B16:B19"/>
    <mergeCell ref="B20:B23"/>
    <mergeCell ref="B41:B44"/>
    <mergeCell ref="B45:B48"/>
    <mergeCell ref="B4:B7"/>
    <mergeCell ref="B8:B11"/>
    <mergeCell ref="S2:S3"/>
    <mergeCell ref="I27:I28"/>
    <mergeCell ref="I14:I15"/>
    <mergeCell ref="J27:J28"/>
    <mergeCell ref="K27:K28"/>
    <mergeCell ref="L27:L28"/>
    <mergeCell ref="J14:J15"/>
    <mergeCell ref="L14:L15"/>
    <mergeCell ref="P14:P15"/>
    <mergeCell ref="K14:K15"/>
    <mergeCell ref="M27:M28"/>
    <mergeCell ref="N27:N28"/>
    <mergeCell ref="O27:O28"/>
    <mergeCell ref="P27:P28"/>
    <mergeCell ref="R27:R28"/>
    <mergeCell ref="S27:S28"/>
    <mergeCell ref="J2:J3"/>
    <mergeCell ref="M2:M3"/>
    <mergeCell ref="N2:N3"/>
    <mergeCell ref="O2:O3"/>
    <mergeCell ref="P2:P3"/>
    <mergeCell ref="Q2:Q3"/>
    <mergeCell ref="M14:M15"/>
    <mergeCell ref="N14:N15"/>
    <mergeCell ref="R2:R3"/>
    <mergeCell ref="Q27:Q28"/>
    <mergeCell ref="L52:L53"/>
    <mergeCell ref="M52:M53"/>
    <mergeCell ref="F39:F40"/>
    <mergeCell ref="G39:G40"/>
    <mergeCell ref="H39:H40"/>
    <mergeCell ref="I39:I40"/>
    <mergeCell ref="J39:J40"/>
    <mergeCell ref="K39:K40"/>
    <mergeCell ref="H2:H3"/>
    <mergeCell ref="I2:I3"/>
    <mergeCell ref="O14:O15"/>
    <mergeCell ref="Q14:Q15"/>
    <mergeCell ref="R14:R15"/>
    <mergeCell ref="L2:L3"/>
    <mergeCell ref="K2:K3"/>
    <mergeCell ref="H52:H53"/>
    <mergeCell ref="F27:F28"/>
    <mergeCell ref="G27:G28"/>
    <mergeCell ref="F52:F53"/>
    <mergeCell ref="G52:G53"/>
    <mergeCell ref="H27:H28"/>
    <mergeCell ref="S39:S40"/>
    <mergeCell ref="P39:P40"/>
    <mergeCell ref="Q39:Q40"/>
    <mergeCell ref="R39:R40"/>
    <mergeCell ref="L39:L40"/>
    <mergeCell ref="M39:M40"/>
    <mergeCell ref="N39:N40"/>
    <mergeCell ref="O39:O40"/>
    <mergeCell ref="N52:N53"/>
    <mergeCell ref="Q52:Q53"/>
    <mergeCell ref="S52:S53"/>
    <mergeCell ref="I64:I65"/>
    <mergeCell ref="K64:K65"/>
    <mergeCell ref="O52:O53"/>
    <mergeCell ref="R64:R65"/>
    <mergeCell ref="S64:S65"/>
    <mergeCell ref="N64:N65"/>
    <mergeCell ref="O64:O65"/>
    <mergeCell ref="P64:P65"/>
    <mergeCell ref="Q64:Q65"/>
    <mergeCell ref="M64:M65"/>
    <mergeCell ref="L64:L65"/>
    <mergeCell ref="J64:J65"/>
    <mergeCell ref="P52:P53"/>
    <mergeCell ref="I52:I53"/>
    <mergeCell ref="J52:J53"/>
    <mergeCell ref="K52:K53"/>
    <mergeCell ref="K177:K178"/>
    <mergeCell ref="P177:P178"/>
    <mergeCell ref="Q177:Q178"/>
    <mergeCell ref="E115:E116"/>
    <mergeCell ref="F115:F116"/>
    <mergeCell ref="G115:G116"/>
    <mergeCell ref="H115:H116"/>
    <mergeCell ref="I115:I116"/>
    <mergeCell ref="J115:J116"/>
    <mergeCell ref="K115:K116"/>
    <mergeCell ref="L115:L116"/>
    <mergeCell ref="O115:O116"/>
    <mergeCell ref="P115:P116"/>
    <mergeCell ref="M115:M116"/>
    <mergeCell ref="N115:N116"/>
    <mergeCell ref="L149:L150"/>
    <mergeCell ref="M149:M150"/>
    <mergeCell ref="N149:N150"/>
    <mergeCell ref="E149:E150"/>
    <mergeCell ref="B143:P144"/>
    <mergeCell ref="O149:O150"/>
    <mergeCell ref="P149:P150"/>
    <mergeCell ref="J149:J150"/>
    <mergeCell ref="K149:K150"/>
    <mergeCell ref="R177:R178"/>
    <mergeCell ref="I177:I178"/>
    <mergeCell ref="L177:L178"/>
    <mergeCell ref="M177:M178"/>
    <mergeCell ref="N177:N178"/>
    <mergeCell ref="O177:O178"/>
    <mergeCell ref="I149:I150"/>
    <mergeCell ref="T2:T3"/>
    <mergeCell ref="U2:U3"/>
    <mergeCell ref="S115:S116"/>
    <mergeCell ref="Q149:Q150"/>
    <mergeCell ref="R149:R150"/>
    <mergeCell ref="S149:S150"/>
    <mergeCell ref="Q115:Q116"/>
    <mergeCell ref="S177:S178"/>
    <mergeCell ref="S106:S107"/>
    <mergeCell ref="R52:R53"/>
    <mergeCell ref="S14:S15"/>
    <mergeCell ref="N106:N107"/>
    <mergeCell ref="R106:R107"/>
    <mergeCell ref="O106:O107"/>
    <mergeCell ref="P106:P107"/>
    <mergeCell ref="Q106:Q107"/>
    <mergeCell ref="R115:R116"/>
    <mergeCell ref="X27:X28"/>
    <mergeCell ref="Y27:Y28"/>
    <mergeCell ref="Z14:Z15"/>
    <mergeCell ref="AA14:AA15"/>
    <mergeCell ref="V2:V3"/>
    <mergeCell ref="W2:W3"/>
    <mergeCell ref="X2:X3"/>
    <mergeCell ref="Y2:Y3"/>
    <mergeCell ref="Z2:Z3"/>
    <mergeCell ref="AA2:AA3"/>
    <mergeCell ref="Z27:Z28"/>
    <mergeCell ref="AA27:AA28"/>
    <mergeCell ref="AB27:AB28"/>
    <mergeCell ref="AC27:AC28"/>
    <mergeCell ref="T39:T40"/>
    <mergeCell ref="U39:U40"/>
    <mergeCell ref="V39:V40"/>
    <mergeCell ref="W39:W40"/>
    <mergeCell ref="X39:X40"/>
    <mergeCell ref="Y39:Y40"/>
    <mergeCell ref="AB2:AB3"/>
    <mergeCell ref="AC2:AC3"/>
    <mergeCell ref="T14:T15"/>
    <mergeCell ref="U14:U15"/>
    <mergeCell ref="V14:V15"/>
    <mergeCell ref="W14:W15"/>
    <mergeCell ref="X14:X15"/>
    <mergeCell ref="Y14:Y15"/>
    <mergeCell ref="Z39:Z40"/>
    <mergeCell ref="AA39:AA40"/>
    <mergeCell ref="AB14:AB15"/>
    <mergeCell ref="AC14:AC15"/>
    <mergeCell ref="T27:T28"/>
    <mergeCell ref="U27:U28"/>
    <mergeCell ref="V27:V28"/>
    <mergeCell ref="W27:W28"/>
    <mergeCell ref="AB39:AB40"/>
    <mergeCell ref="AC39:AC40"/>
    <mergeCell ref="T52:T53"/>
    <mergeCell ref="U52:U53"/>
    <mergeCell ref="V52:V53"/>
    <mergeCell ref="W52:W53"/>
    <mergeCell ref="X52:X53"/>
    <mergeCell ref="Y52:Y53"/>
    <mergeCell ref="Z52:Z53"/>
    <mergeCell ref="AA52:AA53"/>
    <mergeCell ref="AB52:AB53"/>
    <mergeCell ref="AC52:AC53"/>
    <mergeCell ref="AC64:AC65"/>
    <mergeCell ref="T106:T107"/>
    <mergeCell ref="U106:U107"/>
    <mergeCell ref="V106:V107"/>
    <mergeCell ref="W106:W107"/>
    <mergeCell ref="X106:X107"/>
    <mergeCell ref="Y106:Y107"/>
    <mergeCell ref="Z106:Z107"/>
    <mergeCell ref="AA106:AA107"/>
    <mergeCell ref="AB106:AB107"/>
    <mergeCell ref="AC106:AC107"/>
    <mergeCell ref="T64:T65"/>
    <mergeCell ref="U64:U65"/>
    <mergeCell ref="V64:V65"/>
    <mergeCell ref="W64:W65"/>
    <mergeCell ref="X64:X65"/>
    <mergeCell ref="Y64:Y65"/>
    <mergeCell ref="Z64:Z65"/>
    <mergeCell ref="AA64:AA65"/>
    <mergeCell ref="AB64:AB65"/>
    <mergeCell ref="AC115:AC116"/>
    <mergeCell ref="T149:T150"/>
    <mergeCell ref="U149:U150"/>
    <mergeCell ref="V149:V150"/>
    <mergeCell ref="W149:W150"/>
    <mergeCell ref="X149:X150"/>
    <mergeCell ref="Y149:Y150"/>
    <mergeCell ref="Z149:Z150"/>
    <mergeCell ref="AA149:AA150"/>
    <mergeCell ref="AB149:AB150"/>
    <mergeCell ref="AC149:AC150"/>
    <mergeCell ref="T115:T116"/>
    <mergeCell ref="U115:U116"/>
    <mergeCell ref="V115:V116"/>
    <mergeCell ref="W115:W116"/>
    <mergeCell ref="X115:X116"/>
    <mergeCell ref="Y115:Y116"/>
    <mergeCell ref="Z115:Z116"/>
    <mergeCell ref="AA115:AA116"/>
    <mergeCell ref="AB115:AB116"/>
    <mergeCell ref="AA125:AA126"/>
    <mergeCell ref="AB125:AB126"/>
    <mergeCell ref="AC125:AC126"/>
    <mergeCell ref="Z134:Z135"/>
    <mergeCell ref="AB177:AB178"/>
    <mergeCell ref="AC177:AC178"/>
    <mergeCell ref="T177:T178"/>
    <mergeCell ref="U177:U178"/>
    <mergeCell ref="V177:V178"/>
    <mergeCell ref="W177:W178"/>
    <mergeCell ref="X177:X178"/>
    <mergeCell ref="Y177:Y178"/>
    <mergeCell ref="Z177:Z178"/>
    <mergeCell ref="AA177:AA178"/>
    <mergeCell ref="B188:B191"/>
    <mergeCell ref="B192:B195"/>
    <mergeCell ref="B196:B199"/>
    <mergeCell ref="B200:B203"/>
    <mergeCell ref="B108:B110"/>
    <mergeCell ref="B111:B113"/>
    <mergeCell ref="B117:B119"/>
    <mergeCell ref="B120:B122"/>
    <mergeCell ref="B152:B155"/>
    <mergeCell ref="B156:B159"/>
    <mergeCell ref="B180:B183"/>
    <mergeCell ref="B184:B187"/>
    <mergeCell ref="B160:B163"/>
    <mergeCell ref="B164:B167"/>
    <mergeCell ref="B168:B171"/>
    <mergeCell ref="B172:B175"/>
    <mergeCell ref="B127:B129"/>
    <mergeCell ref="B130:B132"/>
    <mergeCell ref="B145:P147"/>
    <mergeCell ref="E177:E178"/>
    <mergeCell ref="F177:F178"/>
    <mergeCell ref="G177:G178"/>
    <mergeCell ref="H177:H178"/>
    <mergeCell ref="J177:J178"/>
    <mergeCell ref="I125:I126"/>
    <mergeCell ref="J125:J126"/>
    <mergeCell ref="K125:K126"/>
    <mergeCell ref="L125:L126"/>
    <mergeCell ref="M125:M126"/>
    <mergeCell ref="N125:N126"/>
    <mergeCell ref="O125:O126"/>
    <mergeCell ref="P125:P126"/>
    <mergeCell ref="Q125:Q126"/>
    <mergeCell ref="R125:R126"/>
    <mergeCell ref="S125:S126"/>
    <mergeCell ref="T125:T126"/>
    <mergeCell ref="U125:U126"/>
    <mergeCell ref="V125:V126"/>
    <mergeCell ref="W125:W126"/>
    <mergeCell ref="X125:X126"/>
    <mergeCell ref="Y125:Y126"/>
    <mergeCell ref="Z125:Z126"/>
    <mergeCell ref="AA134:AA135"/>
    <mergeCell ref="AB134:AB135"/>
    <mergeCell ref="AC134:AC135"/>
    <mergeCell ref="B136:B138"/>
    <mergeCell ref="B139:B141"/>
    <mergeCell ref="Q134:Q135"/>
    <mergeCell ref="R134:R135"/>
    <mergeCell ref="S134:S135"/>
    <mergeCell ref="T134:T135"/>
    <mergeCell ref="U134:U135"/>
    <mergeCell ref="V134:V135"/>
    <mergeCell ref="W134:W135"/>
    <mergeCell ref="X134:X135"/>
    <mergeCell ref="Y134:Y135"/>
    <mergeCell ref="H134:H135"/>
    <mergeCell ref="I134:I135"/>
    <mergeCell ref="J134:J135"/>
    <mergeCell ref="K134:K135"/>
    <mergeCell ref="L134:L135"/>
    <mergeCell ref="M134:M135"/>
    <mergeCell ref="N134:N135"/>
    <mergeCell ref="O134:O135"/>
    <mergeCell ref="P134:P135"/>
  </mergeCells>
  <printOptions verticalCentered="1"/>
  <pageMargins left="0.2" right="0.15314960629921262" top="0.61" bottom="0.6" header="0.39000000000000007" footer="0.39000000000000007"/>
  <pageSetup fitToHeight="0" fitToWidth="1" horizontalDpi="600" verticalDpi="600" orientation="landscape" paperSize="9" scale="44" r:id="rId2"/>
  <headerFooter alignWithMargins="0">
    <oddFooter>&amp;L&amp;A &amp;P/2&amp;C25.2.2013</oddFooter>
  </headerFooter>
  <legacyDrawing r:id="rId1"/>
</worksheet>
</file>

<file path=xl/worksheets/sheet9.xml><?xml version="1.0" encoding="utf-8"?>
<worksheet xmlns="http://schemas.openxmlformats.org/spreadsheetml/2006/main" xmlns:r="http://schemas.openxmlformats.org/officeDocument/2006/relationships">
  <sheetPr codeName="List26">
    <tabColor theme="9" tint="0.39998000860214233"/>
    <pageSetUpPr fitToPage="1"/>
  </sheetPr>
  <dimension ref="A1:AC105"/>
  <sheetViews>
    <sheetView zoomScale="80" zoomScaleNormal="80" zoomScaleSheetLayoutView="70" zoomScalePageLayoutView="0" workbookViewId="0" topLeftCell="A31">
      <selection activeCell="O64" sqref="O64"/>
    </sheetView>
  </sheetViews>
  <sheetFormatPr defaultColWidth="9.140625" defaultRowHeight="12.75"/>
  <cols>
    <col min="1" max="1" width="2.7109375" style="95" customWidth="1"/>
    <col min="2" max="2" width="10.140625" style="95" customWidth="1"/>
    <col min="3" max="3" width="40.421875" style="95" customWidth="1"/>
    <col min="4" max="4" width="18.7109375" style="95" customWidth="1"/>
    <col min="5" max="5" width="13.00390625" style="95" customWidth="1"/>
    <col min="6" max="19" width="11.8515625" style="95" customWidth="1"/>
    <col min="20" max="29" width="10.57421875" style="95" customWidth="1"/>
    <col min="30" max="33" width="7.140625" style="95" customWidth="1"/>
    <col min="34" max="16384" width="9.140625" style="95" customWidth="1"/>
  </cols>
  <sheetData>
    <row r="1" spans="2:18" ht="12" thickBot="1">
      <c r="B1" s="96" t="s">
        <v>1</v>
      </c>
      <c r="C1" s="96"/>
      <c r="D1" s="96"/>
      <c r="E1" s="96"/>
      <c r="F1" s="103"/>
      <c r="G1" s="104"/>
      <c r="H1" s="96"/>
      <c r="I1" s="96"/>
      <c r="J1" s="96"/>
      <c r="K1" s="96"/>
      <c r="L1" s="96"/>
      <c r="M1" s="96"/>
      <c r="N1" s="96"/>
      <c r="O1" s="96"/>
      <c r="P1" s="96"/>
      <c r="Q1" s="96"/>
      <c r="R1" s="96"/>
    </row>
    <row r="2" spans="1:29" ht="12.75">
      <c r="A2" s="58"/>
      <c r="B2" s="410" t="s">
        <v>13</v>
      </c>
      <c r="C2" s="409" t="str">
        <f>IF('0 Úvod'!$M$3="English",Slovnik!D249,Slovnik!C249)</f>
        <v>Osobní a rekreační plavba</v>
      </c>
      <c r="D2" s="828" t="s">
        <v>134</v>
      </c>
      <c r="E2" s="1363">
        <f>'1 CIN'!G3</f>
        <v>2014</v>
      </c>
      <c r="F2" s="1363">
        <f aca="true" t="shared" si="0" ref="F2:S2">E2+1</f>
        <v>2015</v>
      </c>
      <c r="G2" s="1363">
        <f t="shared" si="0"/>
        <v>2016</v>
      </c>
      <c r="H2" s="1363">
        <f t="shared" si="0"/>
        <v>2017</v>
      </c>
      <c r="I2" s="1363">
        <f t="shared" si="0"/>
        <v>2018</v>
      </c>
      <c r="J2" s="1363">
        <f t="shared" si="0"/>
        <v>2019</v>
      </c>
      <c r="K2" s="1363">
        <f t="shared" si="0"/>
        <v>2020</v>
      </c>
      <c r="L2" s="1363">
        <f t="shared" si="0"/>
        <v>2021</v>
      </c>
      <c r="M2" s="1363">
        <f t="shared" si="0"/>
        <v>2022</v>
      </c>
      <c r="N2" s="1363">
        <f t="shared" si="0"/>
        <v>2023</v>
      </c>
      <c r="O2" s="1363">
        <f t="shared" si="0"/>
        <v>2024</v>
      </c>
      <c r="P2" s="1363">
        <f t="shared" si="0"/>
        <v>2025</v>
      </c>
      <c r="Q2" s="1363">
        <f t="shared" si="0"/>
        <v>2026</v>
      </c>
      <c r="R2" s="1363">
        <f t="shared" si="0"/>
        <v>2027</v>
      </c>
      <c r="S2" s="1363">
        <f t="shared" si="0"/>
        <v>2028</v>
      </c>
      <c r="T2" s="1363">
        <f aca="true" t="shared" si="1" ref="T2:AC2">S2+1</f>
        <v>2029</v>
      </c>
      <c r="U2" s="1363">
        <f t="shared" si="1"/>
        <v>2030</v>
      </c>
      <c r="V2" s="1363">
        <f t="shared" si="1"/>
        <v>2031</v>
      </c>
      <c r="W2" s="1363">
        <f t="shared" si="1"/>
        <v>2032</v>
      </c>
      <c r="X2" s="1363">
        <f t="shared" si="1"/>
        <v>2033</v>
      </c>
      <c r="Y2" s="1363">
        <f t="shared" si="1"/>
        <v>2034</v>
      </c>
      <c r="Z2" s="1363">
        <f t="shared" si="1"/>
        <v>2035</v>
      </c>
      <c r="AA2" s="1363">
        <f t="shared" si="1"/>
        <v>2036</v>
      </c>
      <c r="AB2" s="1363">
        <f t="shared" si="1"/>
        <v>2037</v>
      </c>
      <c r="AC2" s="1361">
        <f t="shared" si="1"/>
        <v>2038</v>
      </c>
    </row>
    <row r="3" spans="1:29" ht="13.5" thickBot="1">
      <c r="A3" s="56"/>
      <c r="B3" s="415" t="s">
        <v>17</v>
      </c>
      <c r="C3" s="803" t="str">
        <f>IF('0 Úvod'!$M$3="English",Slovnik!D250,Slovnik!C250)</f>
        <v>Scénář s projektem</v>
      </c>
      <c r="D3" s="832" t="str">
        <f>IF('0 Úvod'!$M$3="English",Slovnik!D258,Slovnik!C258)</f>
        <v>Celkem</v>
      </c>
      <c r="E3" s="1466"/>
      <c r="F3" s="1466"/>
      <c r="G3" s="1466"/>
      <c r="H3" s="1466"/>
      <c r="I3" s="1466"/>
      <c r="J3" s="1466"/>
      <c r="K3" s="1466"/>
      <c r="L3" s="1466"/>
      <c r="M3" s="1466"/>
      <c r="N3" s="1466"/>
      <c r="O3" s="1466"/>
      <c r="P3" s="1466"/>
      <c r="Q3" s="1466"/>
      <c r="R3" s="1466"/>
      <c r="S3" s="1466"/>
      <c r="T3" s="1466"/>
      <c r="U3" s="1466"/>
      <c r="V3" s="1466"/>
      <c r="W3" s="1466"/>
      <c r="X3" s="1466"/>
      <c r="Y3" s="1466"/>
      <c r="Z3" s="1466"/>
      <c r="AA3" s="1466"/>
      <c r="AB3" s="1466"/>
      <c r="AC3" s="1467"/>
    </row>
    <row r="4" spans="1:29" ht="12">
      <c r="A4" s="45"/>
      <c r="B4" s="1477"/>
      <c r="C4" s="831" t="str">
        <f>IF('0 Úvod'!$M$3="English",Slovnik!D251,Slovnik!C251)</f>
        <v>Celkové tržby</v>
      </c>
      <c r="D4" s="833">
        <f aca="true" t="shared" si="2" ref="D4:D11">SUM(E4:AC4,E15:AC15)</f>
        <v>0</v>
      </c>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1"/>
    </row>
    <row r="5" spans="1:29" ht="12">
      <c r="A5" s="45"/>
      <c r="B5" s="1478"/>
      <c r="C5" s="571" t="str">
        <f>IF('0 Úvod'!$M$3="English",Slovnik!D252,Slovnik!C252)</f>
        <v>Přidaná hodnota segmentu trhu</v>
      </c>
      <c r="D5" s="819">
        <f t="shared" si="2"/>
        <v>0</v>
      </c>
      <c r="E5" s="60">
        <f aca="true" t="shared" si="3" ref="E5:AC5">E4*$I$65</f>
        <v>0</v>
      </c>
      <c r="F5" s="57">
        <f t="shared" si="3"/>
        <v>0</v>
      </c>
      <c r="G5" s="57">
        <f t="shared" si="3"/>
        <v>0</v>
      </c>
      <c r="H5" s="57">
        <f t="shared" si="3"/>
        <v>0</v>
      </c>
      <c r="I5" s="57">
        <f t="shared" si="3"/>
        <v>0</v>
      </c>
      <c r="J5" s="57">
        <f t="shared" si="3"/>
        <v>0</v>
      </c>
      <c r="K5" s="57">
        <f t="shared" si="3"/>
        <v>0</v>
      </c>
      <c r="L5" s="57">
        <f t="shared" si="3"/>
        <v>0</v>
      </c>
      <c r="M5" s="57">
        <f t="shared" si="3"/>
        <v>0</v>
      </c>
      <c r="N5" s="57">
        <f t="shared" si="3"/>
        <v>0</v>
      </c>
      <c r="O5" s="57">
        <f t="shared" si="3"/>
        <v>0</v>
      </c>
      <c r="P5" s="57">
        <f t="shared" si="3"/>
        <v>0</v>
      </c>
      <c r="Q5" s="57">
        <f t="shared" si="3"/>
        <v>0</v>
      </c>
      <c r="R5" s="57">
        <f t="shared" si="3"/>
        <v>0</v>
      </c>
      <c r="S5" s="57">
        <f t="shared" si="3"/>
        <v>0</v>
      </c>
      <c r="T5" s="57">
        <f t="shared" si="3"/>
        <v>0</v>
      </c>
      <c r="U5" s="57">
        <f t="shared" si="3"/>
        <v>0</v>
      </c>
      <c r="V5" s="57">
        <f t="shared" si="3"/>
        <v>0</v>
      </c>
      <c r="W5" s="57">
        <f t="shared" si="3"/>
        <v>0</v>
      </c>
      <c r="X5" s="57">
        <f t="shared" si="3"/>
        <v>0</v>
      </c>
      <c r="Y5" s="57">
        <f t="shared" si="3"/>
        <v>0</v>
      </c>
      <c r="Z5" s="57">
        <f t="shared" si="3"/>
        <v>0</v>
      </c>
      <c r="AA5" s="57">
        <f t="shared" si="3"/>
        <v>0</v>
      </c>
      <c r="AB5" s="57">
        <f t="shared" si="3"/>
        <v>0</v>
      </c>
      <c r="AC5" s="549">
        <f t="shared" si="3"/>
        <v>0</v>
      </c>
    </row>
    <row r="6" spans="1:29" ht="12">
      <c r="A6" s="45"/>
      <c r="B6" s="900"/>
      <c r="C6" s="573" t="str">
        <f>IF('0 Úvod'!$M$3="English",Slovnik!D253,Slovnik!C253)</f>
        <v>Efekt mezispotřeby</v>
      </c>
      <c r="D6" s="1100">
        <f t="shared" si="2"/>
        <v>0</v>
      </c>
      <c r="E6" s="403">
        <f aca="true" t="shared" si="4" ref="E6:AC6">E4*$I$72</f>
        <v>0</v>
      </c>
      <c r="F6" s="551">
        <f t="shared" si="4"/>
        <v>0</v>
      </c>
      <c r="G6" s="551">
        <f t="shared" si="4"/>
        <v>0</v>
      </c>
      <c r="H6" s="551">
        <f t="shared" si="4"/>
        <v>0</v>
      </c>
      <c r="I6" s="551">
        <f t="shared" si="4"/>
        <v>0</v>
      </c>
      <c r="J6" s="551">
        <f t="shared" si="4"/>
        <v>0</v>
      </c>
      <c r="K6" s="551">
        <f t="shared" si="4"/>
        <v>0</v>
      </c>
      <c r="L6" s="551">
        <f t="shared" si="4"/>
        <v>0</v>
      </c>
      <c r="M6" s="551">
        <f t="shared" si="4"/>
        <v>0</v>
      </c>
      <c r="N6" s="551">
        <f t="shared" si="4"/>
        <v>0</v>
      </c>
      <c r="O6" s="551">
        <f t="shared" si="4"/>
        <v>0</v>
      </c>
      <c r="P6" s="551">
        <f t="shared" si="4"/>
        <v>0</v>
      </c>
      <c r="Q6" s="551">
        <f t="shared" si="4"/>
        <v>0</v>
      </c>
      <c r="R6" s="551">
        <f t="shared" si="4"/>
        <v>0</v>
      </c>
      <c r="S6" s="551">
        <f t="shared" si="4"/>
        <v>0</v>
      </c>
      <c r="T6" s="551">
        <f t="shared" si="4"/>
        <v>0</v>
      </c>
      <c r="U6" s="551">
        <f t="shared" si="4"/>
        <v>0</v>
      </c>
      <c r="V6" s="551">
        <f t="shared" si="4"/>
        <v>0</v>
      </c>
      <c r="W6" s="551">
        <f t="shared" si="4"/>
        <v>0</v>
      </c>
      <c r="X6" s="551">
        <f t="shared" si="4"/>
        <v>0</v>
      </c>
      <c r="Y6" s="551">
        <f t="shared" si="4"/>
        <v>0</v>
      </c>
      <c r="Z6" s="551">
        <f t="shared" si="4"/>
        <v>0</v>
      </c>
      <c r="AA6" s="551">
        <f t="shared" si="4"/>
        <v>0</v>
      </c>
      <c r="AB6" s="551">
        <f t="shared" si="4"/>
        <v>0</v>
      </c>
      <c r="AC6" s="825">
        <f t="shared" si="4"/>
        <v>0</v>
      </c>
    </row>
    <row r="7" spans="1:29" ht="12">
      <c r="A7" s="56"/>
      <c r="B7" s="829"/>
      <c r="C7" s="573" t="str">
        <f>IF('0 Úvod'!$M$3="English",Slovnik!D254,Slovnik!C254)</f>
        <v>Přínosy přímé zaměstnanosti</v>
      </c>
      <c r="D7" s="821">
        <f t="shared" si="2"/>
        <v>0</v>
      </c>
      <c r="E7" s="1098">
        <f>E89</f>
        <v>0</v>
      </c>
      <c r="F7" s="1098">
        <f>F89</f>
        <v>0</v>
      </c>
      <c r="G7" s="1098">
        <f aca="true" t="shared" si="5" ref="G7:AC7">G89</f>
        <v>0</v>
      </c>
      <c r="H7" s="1098">
        <f t="shared" si="5"/>
        <v>0</v>
      </c>
      <c r="I7" s="1098">
        <f t="shared" si="5"/>
        <v>0</v>
      </c>
      <c r="J7" s="1098">
        <f t="shared" si="5"/>
        <v>0</v>
      </c>
      <c r="K7" s="1098">
        <f t="shared" si="5"/>
        <v>0</v>
      </c>
      <c r="L7" s="1098">
        <f t="shared" si="5"/>
        <v>0</v>
      </c>
      <c r="M7" s="1098">
        <f t="shared" si="5"/>
        <v>0</v>
      </c>
      <c r="N7" s="1098">
        <f t="shared" si="5"/>
        <v>0</v>
      </c>
      <c r="O7" s="1098">
        <f t="shared" si="5"/>
        <v>0</v>
      </c>
      <c r="P7" s="1098">
        <f t="shared" si="5"/>
        <v>0</v>
      </c>
      <c r="Q7" s="1098">
        <f t="shared" si="5"/>
        <v>0</v>
      </c>
      <c r="R7" s="1098">
        <f t="shared" si="5"/>
        <v>0</v>
      </c>
      <c r="S7" s="1098">
        <f t="shared" si="5"/>
        <v>0</v>
      </c>
      <c r="T7" s="1098">
        <f t="shared" si="5"/>
        <v>0</v>
      </c>
      <c r="U7" s="1098">
        <f t="shared" si="5"/>
        <v>0</v>
      </c>
      <c r="V7" s="1098">
        <f t="shared" si="5"/>
        <v>0</v>
      </c>
      <c r="W7" s="1098">
        <f t="shared" si="5"/>
        <v>0</v>
      </c>
      <c r="X7" s="1098">
        <f t="shared" si="5"/>
        <v>0</v>
      </c>
      <c r="Y7" s="1098">
        <f t="shared" si="5"/>
        <v>0</v>
      </c>
      <c r="Z7" s="1098">
        <f t="shared" si="5"/>
        <v>0</v>
      </c>
      <c r="AA7" s="1098">
        <f t="shared" si="5"/>
        <v>0</v>
      </c>
      <c r="AB7" s="1098">
        <f t="shared" si="5"/>
        <v>0</v>
      </c>
      <c r="AC7" s="1099">
        <f t="shared" si="5"/>
        <v>0</v>
      </c>
    </row>
    <row r="8" spans="1:29" ht="12">
      <c r="A8" s="56"/>
      <c r="B8" s="1218">
        <f>I65</f>
        <v>0.3549986011107681</v>
      </c>
      <c r="C8" s="572" t="str">
        <f>IF('0 Úvod'!$M$3="English",Slovnik!D255,Slovnik!C255)</f>
        <v>Tržby z výroby a prodeje plavidel z tuzemska</v>
      </c>
      <c r="D8" s="819">
        <f t="shared" si="2"/>
        <v>0</v>
      </c>
      <c r="E8" s="801"/>
      <c r="F8" s="801"/>
      <c r="G8" s="801"/>
      <c r="H8" s="801"/>
      <c r="I8" s="801"/>
      <c r="J8" s="801"/>
      <c r="K8" s="801"/>
      <c r="L8" s="801"/>
      <c r="M8" s="801"/>
      <c r="N8" s="801"/>
      <c r="O8" s="801"/>
      <c r="P8" s="801"/>
      <c r="Q8" s="801"/>
      <c r="R8" s="801"/>
      <c r="S8" s="801"/>
      <c r="T8" s="801"/>
      <c r="U8" s="801"/>
      <c r="V8" s="801"/>
      <c r="W8" s="801"/>
      <c r="X8" s="801"/>
      <c r="Y8" s="801"/>
      <c r="Z8" s="801"/>
      <c r="AA8" s="801"/>
      <c r="AB8" s="801"/>
      <c r="AC8" s="830"/>
    </row>
    <row r="9" spans="1:29" ht="12">
      <c r="A9" s="56"/>
      <c r="B9" s="1219">
        <v>0.1</v>
      </c>
      <c r="C9" s="571" t="str">
        <f>IF('0 Úvod'!$M$3="English",Slovnik!D256,Slovnik!C256)</f>
        <v>Tržby z výroby a prodeje plavidel ze zahraničí</v>
      </c>
      <c r="D9" s="1100">
        <f t="shared" si="2"/>
        <v>0</v>
      </c>
      <c r="E9" s="529"/>
      <c r="F9" s="529"/>
      <c r="G9" s="529"/>
      <c r="H9" s="529"/>
      <c r="I9" s="529"/>
      <c r="J9" s="529"/>
      <c r="K9" s="529"/>
      <c r="L9" s="529"/>
      <c r="M9" s="529"/>
      <c r="N9" s="529"/>
      <c r="O9" s="529"/>
      <c r="P9" s="529"/>
      <c r="Q9" s="529"/>
      <c r="R9" s="529"/>
      <c r="S9" s="529"/>
      <c r="T9" s="529"/>
      <c r="U9" s="529"/>
      <c r="V9" s="529"/>
      <c r="W9" s="529"/>
      <c r="X9" s="529"/>
      <c r="Y9" s="529"/>
      <c r="Z9" s="529"/>
      <c r="AA9" s="529"/>
      <c r="AB9" s="529"/>
      <c r="AC9" s="530"/>
    </row>
    <row r="10" spans="1:29" ht="12">
      <c r="A10" s="56"/>
      <c r="B10" s="818"/>
      <c r="C10" s="573" t="str">
        <f>IF('0 Úvod'!$M$3="English",Slovnik!D257,Slovnik!C257)</f>
        <v>Přidaná hodnota výroby plavidel</v>
      </c>
      <c r="D10" s="1100">
        <f t="shared" si="2"/>
        <v>0</v>
      </c>
      <c r="E10" s="403">
        <f>E8*$B$8+E9*$B$9</f>
        <v>0</v>
      </c>
      <c r="F10" s="403">
        <f>F8*$B$8+F9*$B$9</f>
        <v>0</v>
      </c>
      <c r="G10" s="403">
        <f>G8*$B$8+G9*$B$9</f>
        <v>0</v>
      </c>
      <c r="H10" s="403">
        <f aca="true" t="shared" si="6" ref="H10:AC10">H8*$B$8+H9*$B$9</f>
        <v>0</v>
      </c>
      <c r="I10" s="403">
        <f t="shared" si="6"/>
        <v>0</v>
      </c>
      <c r="J10" s="403">
        <f t="shared" si="6"/>
        <v>0</v>
      </c>
      <c r="K10" s="403">
        <f t="shared" si="6"/>
        <v>0</v>
      </c>
      <c r="L10" s="403">
        <f t="shared" si="6"/>
        <v>0</v>
      </c>
      <c r="M10" s="403">
        <f t="shared" si="6"/>
        <v>0</v>
      </c>
      <c r="N10" s="403">
        <f t="shared" si="6"/>
        <v>0</v>
      </c>
      <c r="O10" s="403">
        <f t="shared" si="6"/>
        <v>0</v>
      </c>
      <c r="P10" s="403">
        <f t="shared" si="6"/>
        <v>0</v>
      </c>
      <c r="Q10" s="403">
        <f t="shared" si="6"/>
        <v>0</v>
      </c>
      <c r="R10" s="403">
        <f t="shared" si="6"/>
        <v>0</v>
      </c>
      <c r="S10" s="403">
        <f t="shared" si="6"/>
        <v>0</v>
      </c>
      <c r="T10" s="403">
        <f t="shared" si="6"/>
        <v>0</v>
      </c>
      <c r="U10" s="403">
        <f t="shared" si="6"/>
        <v>0</v>
      </c>
      <c r="V10" s="403">
        <f t="shared" si="6"/>
        <v>0</v>
      </c>
      <c r="W10" s="403">
        <f t="shared" si="6"/>
        <v>0</v>
      </c>
      <c r="X10" s="403">
        <f t="shared" si="6"/>
        <v>0</v>
      </c>
      <c r="Y10" s="403">
        <f t="shared" si="6"/>
        <v>0</v>
      </c>
      <c r="Z10" s="403">
        <f t="shared" si="6"/>
        <v>0</v>
      </c>
      <c r="AA10" s="403">
        <f t="shared" si="6"/>
        <v>0</v>
      </c>
      <c r="AB10" s="403">
        <f t="shared" si="6"/>
        <v>0</v>
      </c>
      <c r="AC10" s="403">
        <f t="shared" si="6"/>
        <v>0</v>
      </c>
    </row>
    <row r="11" spans="1:29" ht="12.75" thickBot="1">
      <c r="A11" s="56"/>
      <c r="B11" s="574"/>
      <c r="C11" s="575" t="str">
        <f>IF('0 Úvod'!$M$3="English",Slovnik!D258,Slovnik!C258)</f>
        <v>Celkem</v>
      </c>
      <c r="D11" s="822">
        <f t="shared" si="2"/>
        <v>0</v>
      </c>
      <c r="E11" s="428">
        <f>E5+E6+E7+E10</f>
        <v>0</v>
      </c>
      <c r="F11" s="428">
        <f>F5+F6+F7+F10</f>
        <v>0</v>
      </c>
      <c r="G11" s="428">
        <f aca="true" t="shared" si="7" ref="G11:AC11">G5+G6+G7+G10</f>
        <v>0</v>
      </c>
      <c r="H11" s="428">
        <f t="shared" si="7"/>
        <v>0</v>
      </c>
      <c r="I11" s="428">
        <f t="shared" si="7"/>
        <v>0</v>
      </c>
      <c r="J11" s="428">
        <f t="shared" si="7"/>
        <v>0</v>
      </c>
      <c r="K11" s="428">
        <f t="shared" si="7"/>
        <v>0</v>
      </c>
      <c r="L11" s="428">
        <f t="shared" si="7"/>
        <v>0</v>
      </c>
      <c r="M11" s="428">
        <f t="shared" si="7"/>
        <v>0</v>
      </c>
      <c r="N11" s="428">
        <f t="shared" si="7"/>
        <v>0</v>
      </c>
      <c r="O11" s="428">
        <f t="shared" si="7"/>
        <v>0</v>
      </c>
      <c r="P11" s="428">
        <f t="shared" si="7"/>
        <v>0</v>
      </c>
      <c r="Q11" s="428">
        <f t="shared" si="7"/>
        <v>0</v>
      </c>
      <c r="R11" s="428">
        <f t="shared" si="7"/>
        <v>0</v>
      </c>
      <c r="S11" s="428">
        <f t="shared" si="7"/>
        <v>0</v>
      </c>
      <c r="T11" s="428">
        <f t="shared" si="7"/>
        <v>0</v>
      </c>
      <c r="U11" s="428">
        <f t="shared" si="7"/>
        <v>0</v>
      </c>
      <c r="V11" s="428">
        <f t="shared" si="7"/>
        <v>0</v>
      </c>
      <c r="W11" s="428">
        <f t="shared" si="7"/>
        <v>0</v>
      </c>
      <c r="X11" s="428">
        <f t="shared" si="7"/>
        <v>0</v>
      </c>
      <c r="Y11" s="428">
        <f t="shared" si="7"/>
        <v>0</v>
      </c>
      <c r="Z11" s="428">
        <f t="shared" si="7"/>
        <v>0</v>
      </c>
      <c r="AA11" s="428">
        <f t="shared" si="7"/>
        <v>0</v>
      </c>
      <c r="AB11" s="428">
        <f t="shared" si="7"/>
        <v>0</v>
      </c>
      <c r="AC11" s="429">
        <f t="shared" si="7"/>
        <v>0</v>
      </c>
    </row>
    <row r="12" spans="1:29" ht="12" thickBot="1">
      <c r="A12" s="56"/>
      <c r="B12" s="61"/>
      <c r="C12" s="56"/>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row>
    <row r="13" spans="1:29" ht="12.75">
      <c r="A13" s="58"/>
      <c r="B13" s="410" t="str">
        <f>B2</f>
        <v>8.1.</v>
      </c>
      <c r="C13" s="409" t="str">
        <f>C2</f>
        <v>Osobní a rekreační plavba</v>
      </c>
      <c r="D13" s="824" t="str">
        <f>D2</f>
        <v>CZK</v>
      </c>
      <c r="E13" s="1363">
        <f>AC2+1</f>
        <v>2039</v>
      </c>
      <c r="F13" s="1363">
        <f aca="true" t="shared" si="8" ref="F13:S13">E13+1</f>
        <v>2040</v>
      </c>
      <c r="G13" s="1363">
        <f t="shared" si="8"/>
        <v>2041</v>
      </c>
      <c r="H13" s="1363">
        <f t="shared" si="8"/>
        <v>2042</v>
      </c>
      <c r="I13" s="1363">
        <f t="shared" si="8"/>
        <v>2043</v>
      </c>
      <c r="J13" s="1363">
        <f t="shared" si="8"/>
        <v>2044</v>
      </c>
      <c r="K13" s="1363">
        <f t="shared" si="8"/>
        <v>2045</v>
      </c>
      <c r="L13" s="1363">
        <f t="shared" si="8"/>
        <v>2046</v>
      </c>
      <c r="M13" s="1363">
        <f t="shared" si="8"/>
        <v>2047</v>
      </c>
      <c r="N13" s="1363">
        <f t="shared" si="8"/>
        <v>2048</v>
      </c>
      <c r="O13" s="1363">
        <f t="shared" si="8"/>
        <v>2049</v>
      </c>
      <c r="P13" s="1363">
        <f t="shared" si="8"/>
        <v>2050</v>
      </c>
      <c r="Q13" s="1363">
        <f t="shared" si="8"/>
        <v>2051</v>
      </c>
      <c r="R13" s="1363">
        <f t="shared" si="8"/>
        <v>2052</v>
      </c>
      <c r="S13" s="1363">
        <f t="shared" si="8"/>
        <v>2053</v>
      </c>
      <c r="T13" s="1363">
        <f aca="true" t="shared" si="9" ref="T13:AC13">S13+1</f>
        <v>2054</v>
      </c>
      <c r="U13" s="1363">
        <f t="shared" si="9"/>
        <v>2055</v>
      </c>
      <c r="V13" s="1363">
        <f t="shared" si="9"/>
        <v>2056</v>
      </c>
      <c r="W13" s="1363">
        <f t="shared" si="9"/>
        <v>2057</v>
      </c>
      <c r="X13" s="1363">
        <f t="shared" si="9"/>
        <v>2058</v>
      </c>
      <c r="Y13" s="1363">
        <f t="shared" si="9"/>
        <v>2059</v>
      </c>
      <c r="Z13" s="1363">
        <f t="shared" si="9"/>
        <v>2060</v>
      </c>
      <c r="AA13" s="1363">
        <f t="shared" si="9"/>
        <v>2061</v>
      </c>
      <c r="AB13" s="1363">
        <f t="shared" si="9"/>
        <v>2062</v>
      </c>
      <c r="AC13" s="1361">
        <f t="shared" si="9"/>
        <v>2063</v>
      </c>
    </row>
    <row r="14" spans="1:29" ht="13.5" thickBot="1">
      <c r="A14" s="56"/>
      <c r="B14" s="415" t="s">
        <v>19</v>
      </c>
      <c r="C14" s="396" t="str">
        <f aca="true" t="shared" si="10" ref="C14:C19">C3</f>
        <v>Scénář s projektem</v>
      </c>
      <c r="D14" s="432"/>
      <c r="E14" s="1466"/>
      <c r="F14" s="1466"/>
      <c r="G14" s="1466"/>
      <c r="H14" s="1466"/>
      <c r="I14" s="1466"/>
      <c r="J14" s="1466"/>
      <c r="K14" s="1466"/>
      <c r="L14" s="1466"/>
      <c r="M14" s="1466"/>
      <c r="N14" s="1466"/>
      <c r="O14" s="1466"/>
      <c r="P14" s="1466"/>
      <c r="Q14" s="1466"/>
      <c r="R14" s="1466"/>
      <c r="S14" s="1466"/>
      <c r="T14" s="1466"/>
      <c r="U14" s="1466"/>
      <c r="V14" s="1466"/>
      <c r="W14" s="1466"/>
      <c r="X14" s="1466"/>
      <c r="Y14" s="1466"/>
      <c r="Z14" s="1466"/>
      <c r="AA14" s="1466"/>
      <c r="AB14" s="1466"/>
      <c r="AC14" s="1467"/>
    </row>
    <row r="15" spans="1:29" ht="12">
      <c r="A15" s="56"/>
      <c r="B15" s="1477"/>
      <c r="C15" s="834" t="str">
        <f t="shared" si="10"/>
        <v>Celkové tržby</v>
      </c>
      <c r="D15" s="1105">
        <f>I62</f>
        <v>1</v>
      </c>
      <c r="E15" s="1092"/>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1092"/>
      <c r="AC15" s="1093"/>
    </row>
    <row r="16" spans="1:29" ht="12">
      <c r="A16" s="56"/>
      <c r="B16" s="1478"/>
      <c r="C16" s="576" t="str">
        <f t="shared" si="10"/>
        <v>Přidaná hodnota segmentu trhu</v>
      </c>
      <c r="D16" s="1103">
        <f>I65</f>
        <v>0.3549986011107681</v>
      </c>
      <c r="E16" s="60">
        <f aca="true" t="shared" si="11" ref="E16:AC16">E15*$I$65</f>
        <v>0</v>
      </c>
      <c r="F16" s="57">
        <f t="shared" si="11"/>
        <v>0</v>
      </c>
      <c r="G16" s="57">
        <f t="shared" si="11"/>
        <v>0</v>
      </c>
      <c r="H16" s="57">
        <f t="shared" si="11"/>
        <v>0</v>
      </c>
      <c r="I16" s="57">
        <f t="shared" si="11"/>
        <v>0</v>
      </c>
      <c r="J16" s="57">
        <f t="shared" si="11"/>
        <v>0</v>
      </c>
      <c r="K16" s="57">
        <f t="shared" si="11"/>
        <v>0</v>
      </c>
      <c r="L16" s="57">
        <f t="shared" si="11"/>
        <v>0</v>
      </c>
      <c r="M16" s="57">
        <f t="shared" si="11"/>
        <v>0</v>
      </c>
      <c r="N16" s="57">
        <f t="shared" si="11"/>
        <v>0</v>
      </c>
      <c r="O16" s="57">
        <f t="shared" si="11"/>
        <v>0</v>
      </c>
      <c r="P16" s="57">
        <f t="shared" si="11"/>
        <v>0</v>
      </c>
      <c r="Q16" s="57">
        <f t="shared" si="11"/>
        <v>0</v>
      </c>
      <c r="R16" s="57">
        <f t="shared" si="11"/>
        <v>0</v>
      </c>
      <c r="S16" s="57">
        <f t="shared" si="11"/>
        <v>0</v>
      </c>
      <c r="T16" s="57">
        <f t="shared" si="11"/>
        <v>0</v>
      </c>
      <c r="U16" s="57">
        <f t="shared" si="11"/>
        <v>0</v>
      </c>
      <c r="V16" s="57">
        <f t="shared" si="11"/>
        <v>0</v>
      </c>
      <c r="W16" s="57">
        <f t="shared" si="11"/>
        <v>0</v>
      </c>
      <c r="X16" s="57">
        <f t="shared" si="11"/>
        <v>0</v>
      </c>
      <c r="Y16" s="57">
        <f t="shared" si="11"/>
        <v>0</v>
      </c>
      <c r="Z16" s="57">
        <f t="shared" si="11"/>
        <v>0</v>
      </c>
      <c r="AA16" s="57">
        <f t="shared" si="11"/>
        <v>0</v>
      </c>
      <c r="AB16" s="57">
        <f t="shared" si="11"/>
        <v>0</v>
      </c>
      <c r="AC16" s="549">
        <f t="shared" si="11"/>
        <v>0</v>
      </c>
    </row>
    <row r="17" spans="1:29" ht="12">
      <c r="A17" s="56"/>
      <c r="B17" s="829"/>
      <c r="C17" s="581" t="str">
        <f t="shared" si="10"/>
        <v>Efekt mezispotřeby</v>
      </c>
      <c r="D17" s="1104">
        <f>I72</f>
        <v>0.18101506429383815</v>
      </c>
      <c r="E17" s="403">
        <f aca="true" t="shared" si="12" ref="E17:AC17">E15*$I$72</f>
        <v>0</v>
      </c>
      <c r="F17" s="403">
        <f t="shared" si="12"/>
        <v>0</v>
      </c>
      <c r="G17" s="403">
        <f t="shared" si="12"/>
        <v>0</v>
      </c>
      <c r="H17" s="403">
        <f t="shared" si="12"/>
        <v>0</v>
      </c>
      <c r="I17" s="403">
        <f t="shared" si="12"/>
        <v>0</v>
      </c>
      <c r="J17" s="403">
        <f t="shared" si="12"/>
        <v>0</v>
      </c>
      <c r="K17" s="403">
        <f t="shared" si="12"/>
        <v>0</v>
      </c>
      <c r="L17" s="403">
        <f t="shared" si="12"/>
        <v>0</v>
      </c>
      <c r="M17" s="403">
        <f t="shared" si="12"/>
        <v>0</v>
      </c>
      <c r="N17" s="403">
        <f t="shared" si="12"/>
        <v>0</v>
      </c>
      <c r="O17" s="403">
        <f t="shared" si="12"/>
        <v>0</v>
      </c>
      <c r="P17" s="403">
        <f t="shared" si="12"/>
        <v>0</v>
      </c>
      <c r="Q17" s="403">
        <f t="shared" si="12"/>
        <v>0</v>
      </c>
      <c r="R17" s="403">
        <f t="shared" si="12"/>
        <v>0</v>
      </c>
      <c r="S17" s="403">
        <f t="shared" si="12"/>
        <v>0</v>
      </c>
      <c r="T17" s="403">
        <f t="shared" si="12"/>
        <v>0</v>
      </c>
      <c r="U17" s="403">
        <f t="shared" si="12"/>
        <v>0</v>
      </c>
      <c r="V17" s="403">
        <f t="shared" si="12"/>
        <v>0</v>
      </c>
      <c r="W17" s="403">
        <f t="shared" si="12"/>
        <v>0</v>
      </c>
      <c r="X17" s="403">
        <f t="shared" si="12"/>
        <v>0</v>
      </c>
      <c r="Y17" s="403">
        <f t="shared" si="12"/>
        <v>0</v>
      </c>
      <c r="Z17" s="403">
        <f t="shared" si="12"/>
        <v>0</v>
      </c>
      <c r="AA17" s="403">
        <f t="shared" si="12"/>
        <v>0</v>
      </c>
      <c r="AB17" s="403">
        <f t="shared" si="12"/>
        <v>0</v>
      </c>
      <c r="AC17" s="825">
        <f t="shared" si="12"/>
        <v>0</v>
      </c>
    </row>
    <row r="18" spans="1:29" ht="12">
      <c r="A18" s="56"/>
      <c r="B18" s="816"/>
      <c r="C18" s="802" t="str">
        <f t="shared" si="10"/>
        <v>Přínosy přímé zaměstnanosti</v>
      </c>
      <c r="D18" s="823"/>
      <c r="E18" s="1098">
        <f>E98</f>
        <v>0</v>
      </c>
      <c r="F18" s="1098">
        <f>F98</f>
        <v>0</v>
      </c>
      <c r="G18" s="1098">
        <f aca="true" t="shared" si="13" ref="G18:AC18">G98</f>
        <v>0</v>
      </c>
      <c r="H18" s="1098">
        <f t="shared" si="13"/>
        <v>0</v>
      </c>
      <c r="I18" s="1098">
        <f t="shared" si="13"/>
        <v>0</v>
      </c>
      <c r="J18" s="1098">
        <f t="shared" si="13"/>
        <v>0</v>
      </c>
      <c r="K18" s="1098">
        <f t="shared" si="13"/>
        <v>0</v>
      </c>
      <c r="L18" s="1098">
        <f t="shared" si="13"/>
        <v>0</v>
      </c>
      <c r="M18" s="1098">
        <f t="shared" si="13"/>
        <v>0</v>
      </c>
      <c r="N18" s="1098">
        <f t="shared" si="13"/>
        <v>0</v>
      </c>
      <c r="O18" s="1098">
        <f t="shared" si="13"/>
        <v>0</v>
      </c>
      <c r="P18" s="1098">
        <f t="shared" si="13"/>
        <v>0</v>
      </c>
      <c r="Q18" s="1098">
        <f t="shared" si="13"/>
        <v>0</v>
      </c>
      <c r="R18" s="1098">
        <f t="shared" si="13"/>
        <v>0</v>
      </c>
      <c r="S18" s="1098">
        <f t="shared" si="13"/>
        <v>0</v>
      </c>
      <c r="T18" s="1098">
        <f t="shared" si="13"/>
        <v>0</v>
      </c>
      <c r="U18" s="1098">
        <f t="shared" si="13"/>
        <v>0</v>
      </c>
      <c r="V18" s="1098">
        <f t="shared" si="13"/>
        <v>0</v>
      </c>
      <c r="W18" s="1098">
        <f t="shared" si="13"/>
        <v>0</v>
      </c>
      <c r="X18" s="1098">
        <f t="shared" si="13"/>
        <v>0</v>
      </c>
      <c r="Y18" s="1098">
        <f t="shared" si="13"/>
        <v>0</v>
      </c>
      <c r="Z18" s="1098">
        <f t="shared" si="13"/>
        <v>0</v>
      </c>
      <c r="AA18" s="1098">
        <f t="shared" si="13"/>
        <v>0</v>
      </c>
      <c r="AB18" s="1098">
        <f t="shared" si="13"/>
        <v>0</v>
      </c>
      <c r="AC18" s="1099">
        <f t="shared" si="13"/>
        <v>0</v>
      </c>
    </row>
    <row r="19" spans="1:29" ht="12">
      <c r="A19" s="56"/>
      <c r="B19" s="826"/>
      <c r="C19" s="576" t="str">
        <f t="shared" si="10"/>
        <v>Tržby z výroby a prodeje plavidel z tuzemska</v>
      </c>
      <c r="D19" s="580"/>
      <c r="E19" s="1085"/>
      <c r="F19" s="1085"/>
      <c r="G19" s="1085"/>
      <c r="H19" s="1085"/>
      <c r="I19" s="1085"/>
      <c r="J19" s="1085"/>
      <c r="K19" s="1085"/>
      <c r="L19" s="1085"/>
      <c r="M19" s="1085"/>
      <c r="N19" s="1085"/>
      <c r="O19" s="1085"/>
      <c r="P19" s="1085"/>
      <c r="Q19" s="1085"/>
      <c r="R19" s="1085"/>
      <c r="S19" s="1085"/>
      <c r="T19" s="1085"/>
      <c r="U19" s="1085"/>
      <c r="V19" s="1085"/>
      <c r="W19" s="1085"/>
      <c r="X19" s="1085"/>
      <c r="Y19" s="1085"/>
      <c r="Z19" s="1085"/>
      <c r="AA19" s="1085"/>
      <c r="AB19" s="1085"/>
      <c r="AC19" s="1086"/>
    </row>
    <row r="20" spans="1:29" ht="12">
      <c r="A20" s="56"/>
      <c r="B20" s="826"/>
      <c r="C20" s="576" t="str">
        <f>C9</f>
        <v>Tržby z výroby a prodeje plavidel ze zahraničí</v>
      </c>
      <c r="D20" s="580"/>
      <c r="E20" s="1085"/>
      <c r="F20" s="1085"/>
      <c r="G20" s="1085"/>
      <c r="H20" s="1085"/>
      <c r="I20" s="1085"/>
      <c r="J20" s="1085"/>
      <c r="K20" s="1085"/>
      <c r="L20" s="1085"/>
      <c r="M20" s="1085"/>
      <c r="N20" s="1085"/>
      <c r="O20" s="1085"/>
      <c r="P20" s="1085"/>
      <c r="Q20" s="1085"/>
      <c r="R20" s="1085"/>
      <c r="S20" s="1085"/>
      <c r="T20" s="1085"/>
      <c r="U20" s="1085"/>
      <c r="V20" s="1085"/>
      <c r="W20" s="1085"/>
      <c r="X20" s="1085"/>
      <c r="Y20" s="1085"/>
      <c r="Z20" s="1085"/>
      <c r="AA20" s="1085"/>
      <c r="AB20" s="1085"/>
      <c r="AC20" s="1086"/>
    </row>
    <row r="21" spans="1:29" ht="12">
      <c r="A21" s="56"/>
      <c r="B21" s="818"/>
      <c r="C21" s="581" t="str">
        <f>C10</f>
        <v>Přidaná hodnota výroby plavidel</v>
      </c>
      <c r="D21" s="582"/>
      <c r="E21" s="403">
        <f>E19*$B$8+E20*$B$9</f>
        <v>0</v>
      </c>
      <c r="F21" s="403">
        <f aca="true" t="shared" si="14" ref="F21:AC21">F19*$B$8+F20*$B$9</f>
        <v>0</v>
      </c>
      <c r="G21" s="403">
        <f t="shared" si="14"/>
        <v>0</v>
      </c>
      <c r="H21" s="403">
        <f t="shared" si="14"/>
        <v>0</v>
      </c>
      <c r="I21" s="403">
        <f t="shared" si="14"/>
        <v>0</v>
      </c>
      <c r="J21" s="403">
        <f t="shared" si="14"/>
        <v>0</v>
      </c>
      <c r="K21" s="403">
        <f t="shared" si="14"/>
        <v>0</v>
      </c>
      <c r="L21" s="403">
        <f t="shared" si="14"/>
        <v>0</v>
      </c>
      <c r="M21" s="403">
        <f t="shared" si="14"/>
        <v>0</v>
      </c>
      <c r="N21" s="403">
        <f t="shared" si="14"/>
        <v>0</v>
      </c>
      <c r="O21" s="403">
        <f t="shared" si="14"/>
        <v>0</v>
      </c>
      <c r="P21" s="403">
        <f t="shared" si="14"/>
        <v>0</v>
      </c>
      <c r="Q21" s="403">
        <f t="shared" si="14"/>
        <v>0</v>
      </c>
      <c r="R21" s="403">
        <f t="shared" si="14"/>
        <v>0</v>
      </c>
      <c r="S21" s="403">
        <f t="shared" si="14"/>
        <v>0</v>
      </c>
      <c r="T21" s="403">
        <f t="shared" si="14"/>
        <v>0</v>
      </c>
      <c r="U21" s="403">
        <f t="shared" si="14"/>
        <v>0</v>
      </c>
      <c r="V21" s="403">
        <f t="shared" si="14"/>
        <v>0</v>
      </c>
      <c r="W21" s="403">
        <f t="shared" si="14"/>
        <v>0</v>
      </c>
      <c r="X21" s="403">
        <f t="shared" si="14"/>
        <v>0</v>
      </c>
      <c r="Y21" s="403">
        <f t="shared" si="14"/>
        <v>0</v>
      </c>
      <c r="Z21" s="403">
        <f t="shared" si="14"/>
        <v>0</v>
      </c>
      <c r="AA21" s="403">
        <f t="shared" si="14"/>
        <v>0</v>
      </c>
      <c r="AB21" s="403">
        <f t="shared" si="14"/>
        <v>0</v>
      </c>
      <c r="AC21" s="403">
        <f t="shared" si="14"/>
        <v>0</v>
      </c>
    </row>
    <row r="22" spans="1:29" ht="12.75" thickBot="1">
      <c r="A22" s="48"/>
      <c r="B22" s="574"/>
      <c r="C22" s="583" t="str">
        <f>C11</f>
        <v>Celkem</v>
      </c>
      <c r="D22" s="584"/>
      <c r="E22" s="428">
        <f>E16+E17+E18+E21</f>
        <v>0</v>
      </c>
      <c r="F22" s="428">
        <f>F16+F17+F18+F21</f>
        <v>0</v>
      </c>
      <c r="G22" s="428">
        <f>G16+G17+G18+G21</f>
        <v>0</v>
      </c>
      <c r="H22" s="428">
        <f>H16+H17+H18+H21</f>
        <v>0</v>
      </c>
      <c r="I22" s="428">
        <f>I16+I17+I18+I21</f>
        <v>0</v>
      </c>
      <c r="J22" s="428">
        <f>J16+J17+J18+J21</f>
        <v>0</v>
      </c>
      <c r="K22" s="428">
        <f>K16+K17+K18+K21</f>
        <v>0</v>
      </c>
      <c r="L22" s="428">
        <f>L16+L17+L18+L21</f>
        <v>0</v>
      </c>
      <c r="M22" s="428">
        <f>M16+M17+M18+M21</f>
        <v>0</v>
      </c>
      <c r="N22" s="428">
        <f>N16+N17+N18+N21</f>
        <v>0</v>
      </c>
      <c r="O22" s="428">
        <f>O16+O17+O18+O21</f>
        <v>0</v>
      </c>
      <c r="P22" s="428">
        <f>P16+P17+P18+P21</f>
        <v>0</v>
      </c>
      <c r="Q22" s="428">
        <f>Q16+Q17+Q18+Q21</f>
        <v>0</v>
      </c>
      <c r="R22" s="428">
        <f>R16+R17+R18+R21</f>
        <v>0</v>
      </c>
      <c r="S22" s="428">
        <f>S16+S17+S18+S21</f>
        <v>0</v>
      </c>
      <c r="T22" s="428">
        <f>T16+T17+T18+T21</f>
        <v>0</v>
      </c>
      <c r="U22" s="428">
        <f>U16+U17+U18+U21</f>
        <v>0</v>
      </c>
      <c r="V22" s="428">
        <f>V16+V17+V18+V21</f>
        <v>0</v>
      </c>
      <c r="W22" s="428">
        <f>W16+W17+W18+W21</f>
        <v>0</v>
      </c>
      <c r="X22" s="428">
        <f>X16+X17+X18+X21</f>
        <v>0</v>
      </c>
      <c r="Y22" s="428">
        <f>Y16+Y17+Y18+Y21</f>
        <v>0</v>
      </c>
      <c r="Z22" s="428">
        <f>Z16+Z17+Z18+Z21</f>
        <v>0</v>
      </c>
      <c r="AA22" s="428">
        <f>AA16+AA17+AA18+AA21</f>
        <v>0</v>
      </c>
      <c r="AB22" s="428">
        <f>AB16+AB17+AB18+AB21</f>
        <v>0</v>
      </c>
      <c r="AC22" s="429">
        <f>AC16+AC17+AC18+AC21</f>
        <v>0</v>
      </c>
    </row>
    <row r="23" spans="1:29" ht="11.25">
      <c r="A23" s="48"/>
      <c r="B23" s="63"/>
      <c r="C23" s="48"/>
      <c r="D23" s="57"/>
      <c r="E23" s="64"/>
      <c r="F23" s="64"/>
      <c r="G23" s="64"/>
      <c r="H23" s="64"/>
      <c r="I23" s="64"/>
      <c r="J23" s="64"/>
      <c r="K23" s="64"/>
      <c r="L23" s="64"/>
      <c r="M23" s="64"/>
      <c r="N23" s="64"/>
      <c r="O23" s="64"/>
      <c r="P23" s="64"/>
      <c r="Q23" s="64"/>
      <c r="R23" s="64"/>
      <c r="S23" s="64"/>
      <c r="T23" s="64"/>
      <c r="U23" s="64"/>
      <c r="V23" s="64"/>
      <c r="W23" s="64"/>
      <c r="X23" s="64"/>
      <c r="Y23" s="64"/>
      <c r="Z23" s="64"/>
      <c r="AA23" s="64"/>
      <c r="AB23" s="64"/>
      <c r="AC23" s="64"/>
    </row>
    <row r="24" spans="1:29" ht="12" thickBo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row>
    <row r="25" spans="1:29" ht="12.75">
      <c r="A25" s="58"/>
      <c r="B25" s="410" t="s">
        <v>14</v>
      </c>
      <c r="C25" s="409" t="str">
        <f>C2</f>
        <v>Osobní a rekreační plavba</v>
      </c>
      <c r="D25" s="828" t="str">
        <f>D2</f>
        <v>CZK</v>
      </c>
      <c r="E25" s="1363">
        <f>E2</f>
        <v>2014</v>
      </c>
      <c r="F25" s="1363">
        <f aca="true" t="shared" si="15" ref="F25:S25">E25+1</f>
        <v>2015</v>
      </c>
      <c r="G25" s="1363">
        <f t="shared" si="15"/>
        <v>2016</v>
      </c>
      <c r="H25" s="1363">
        <f t="shared" si="15"/>
        <v>2017</v>
      </c>
      <c r="I25" s="1363">
        <f t="shared" si="15"/>
        <v>2018</v>
      </c>
      <c r="J25" s="1363">
        <f t="shared" si="15"/>
        <v>2019</v>
      </c>
      <c r="K25" s="1363">
        <f t="shared" si="15"/>
        <v>2020</v>
      </c>
      <c r="L25" s="1363">
        <f t="shared" si="15"/>
        <v>2021</v>
      </c>
      <c r="M25" s="1363">
        <f t="shared" si="15"/>
        <v>2022</v>
      </c>
      <c r="N25" s="1363">
        <f t="shared" si="15"/>
        <v>2023</v>
      </c>
      <c r="O25" s="1363">
        <f t="shared" si="15"/>
        <v>2024</v>
      </c>
      <c r="P25" s="1363">
        <f t="shared" si="15"/>
        <v>2025</v>
      </c>
      <c r="Q25" s="1363">
        <f t="shared" si="15"/>
        <v>2026</v>
      </c>
      <c r="R25" s="1363">
        <f t="shared" si="15"/>
        <v>2027</v>
      </c>
      <c r="S25" s="1363">
        <f t="shared" si="15"/>
        <v>2028</v>
      </c>
      <c r="T25" s="1363">
        <f aca="true" t="shared" si="16" ref="T25:AC25">S25+1</f>
        <v>2029</v>
      </c>
      <c r="U25" s="1363">
        <f t="shared" si="16"/>
        <v>2030</v>
      </c>
      <c r="V25" s="1363">
        <f t="shared" si="16"/>
        <v>2031</v>
      </c>
      <c r="W25" s="1363">
        <f t="shared" si="16"/>
        <v>2032</v>
      </c>
      <c r="X25" s="1363">
        <f t="shared" si="16"/>
        <v>2033</v>
      </c>
      <c r="Y25" s="1363">
        <f t="shared" si="16"/>
        <v>2034</v>
      </c>
      <c r="Z25" s="1363">
        <f t="shared" si="16"/>
        <v>2035</v>
      </c>
      <c r="AA25" s="1363">
        <f t="shared" si="16"/>
        <v>2036</v>
      </c>
      <c r="AB25" s="1363">
        <f t="shared" si="16"/>
        <v>2037</v>
      </c>
      <c r="AC25" s="1361">
        <f t="shared" si="16"/>
        <v>2038</v>
      </c>
    </row>
    <row r="26" spans="1:29" ht="13.5" thickBot="1">
      <c r="A26" s="56"/>
      <c r="B26" s="411" t="s">
        <v>17</v>
      </c>
      <c r="C26" s="412" t="str">
        <f>IF('0 Úvod'!$M$3="English",Slovnik!D259,Slovnik!C259)</f>
        <v>Scénář bez projektu</v>
      </c>
      <c r="D26" s="417" t="str">
        <f>D3</f>
        <v>Celkem</v>
      </c>
      <c r="E26" s="1364"/>
      <c r="F26" s="1364"/>
      <c r="G26" s="1364"/>
      <c r="H26" s="1364"/>
      <c r="I26" s="1364"/>
      <c r="J26" s="1364"/>
      <c r="K26" s="1364"/>
      <c r="L26" s="1364"/>
      <c r="M26" s="1364"/>
      <c r="N26" s="1364"/>
      <c r="O26" s="1364"/>
      <c r="P26" s="1364"/>
      <c r="Q26" s="1364"/>
      <c r="R26" s="1364"/>
      <c r="S26" s="1364"/>
      <c r="T26" s="1364"/>
      <c r="U26" s="1364"/>
      <c r="V26" s="1364"/>
      <c r="W26" s="1364"/>
      <c r="X26" s="1364"/>
      <c r="Y26" s="1364"/>
      <c r="Z26" s="1364"/>
      <c r="AA26" s="1364"/>
      <c r="AB26" s="1364"/>
      <c r="AC26" s="1362"/>
    </row>
    <row r="27" spans="1:29" ht="12">
      <c r="A27" s="45"/>
      <c r="B27" s="1478"/>
      <c r="C27" s="571" t="str">
        <f>C4</f>
        <v>Celkové tržby</v>
      </c>
      <c r="D27" s="1101">
        <f>SUM(E27:AC27,E37:AC37)</f>
        <v>0</v>
      </c>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4"/>
      <c r="AA27" s="1094"/>
      <c r="AB27" s="1094"/>
      <c r="AC27" s="1095"/>
    </row>
    <row r="28" spans="1:29" ht="12">
      <c r="A28" s="45"/>
      <c r="B28" s="1478"/>
      <c r="C28" s="571" t="str">
        <f>C5</f>
        <v>Přidaná hodnota segmentu trhu</v>
      </c>
      <c r="D28" s="1102">
        <f>SUM(E28:AC28,E38:AC38)</f>
        <v>0</v>
      </c>
      <c r="E28" s="896">
        <f aca="true" t="shared" si="17" ref="E28:AC28">E27*$I$65</f>
        <v>0</v>
      </c>
      <c r="F28" s="57">
        <f t="shared" si="17"/>
        <v>0</v>
      </c>
      <c r="G28" s="57">
        <f t="shared" si="17"/>
        <v>0</v>
      </c>
      <c r="H28" s="57">
        <f t="shared" si="17"/>
        <v>0</v>
      </c>
      <c r="I28" s="57">
        <f t="shared" si="17"/>
        <v>0</v>
      </c>
      <c r="J28" s="57">
        <f t="shared" si="17"/>
        <v>0</v>
      </c>
      <c r="K28" s="57">
        <f t="shared" si="17"/>
        <v>0</v>
      </c>
      <c r="L28" s="57">
        <f t="shared" si="17"/>
        <v>0</v>
      </c>
      <c r="M28" s="57">
        <f t="shared" si="17"/>
        <v>0</v>
      </c>
      <c r="N28" s="57">
        <f t="shared" si="17"/>
        <v>0</v>
      </c>
      <c r="O28" s="57">
        <f t="shared" si="17"/>
        <v>0</v>
      </c>
      <c r="P28" s="57">
        <f t="shared" si="17"/>
        <v>0</v>
      </c>
      <c r="Q28" s="57">
        <f t="shared" si="17"/>
        <v>0</v>
      </c>
      <c r="R28" s="57">
        <f t="shared" si="17"/>
        <v>0</v>
      </c>
      <c r="S28" s="57">
        <f t="shared" si="17"/>
        <v>0</v>
      </c>
      <c r="T28" s="57">
        <f t="shared" si="17"/>
        <v>0</v>
      </c>
      <c r="U28" s="57">
        <f t="shared" si="17"/>
        <v>0</v>
      </c>
      <c r="V28" s="57">
        <f t="shared" si="17"/>
        <v>0</v>
      </c>
      <c r="W28" s="57">
        <f t="shared" si="17"/>
        <v>0</v>
      </c>
      <c r="X28" s="57">
        <f t="shared" si="17"/>
        <v>0</v>
      </c>
      <c r="Y28" s="57">
        <f t="shared" si="17"/>
        <v>0</v>
      </c>
      <c r="Z28" s="57">
        <f t="shared" si="17"/>
        <v>0</v>
      </c>
      <c r="AA28" s="57">
        <f t="shared" si="17"/>
        <v>0</v>
      </c>
      <c r="AB28" s="57">
        <f t="shared" si="17"/>
        <v>0</v>
      </c>
      <c r="AC28" s="549">
        <f t="shared" si="17"/>
        <v>0</v>
      </c>
    </row>
    <row r="29" spans="1:29" ht="12">
      <c r="A29" s="56"/>
      <c r="B29" s="1060"/>
      <c r="C29" s="573" t="str">
        <f>C6</f>
        <v>Efekt mezispotřeby</v>
      </c>
      <c r="D29" s="1100">
        <f>SUM(E29:AC29,E40:AC40)</f>
        <v>0</v>
      </c>
      <c r="E29" s="403">
        <f aca="true" t="shared" si="18" ref="E29:AC29">E28*$I$72</f>
        <v>0</v>
      </c>
      <c r="F29" s="403">
        <f t="shared" si="18"/>
        <v>0</v>
      </c>
      <c r="G29" s="403">
        <f t="shared" si="18"/>
        <v>0</v>
      </c>
      <c r="H29" s="403">
        <f t="shared" si="18"/>
        <v>0</v>
      </c>
      <c r="I29" s="403">
        <f t="shared" si="18"/>
        <v>0</v>
      </c>
      <c r="J29" s="403">
        <f t="shared" si="18"/>
        <v>0</v>
      </c>
      <c r="K29" s="403">
        <f t="shared" si="18"/>
        <v>0</v>
      </c>
      <c r="L29" s="403">
        <f t="shared" si="18"/>
        <v>0</v>
      </c>
      <c r="M29" s="403">
        <f t="shared" si="18"/>
        <v>0</v>
      </c>
      <c r="N29" s="403">
        <f t="shared" si="18"/>
        <v>0</v>
      </c>
      <c r="O29" s="403">
        <f t="shared" si="18"/>
        <v>0</v>
      </c>
      <c r="P29" s="403">
        <f t="shared" si="18"/>
        <v>0</v>
      </c>
      <c r="Q29" s="403">
        <f t="shared" si="18"/>
        <v>0</v>
      </c>
      <c r="R29" s="403">
        <f t="shared" si="18"/>
        <v>0</v>
      </c>
      <c r="S29" s="403">
        <f t="shared" si="18"/>
        <v>0</v>
      </c>
      <c r="T29" s="403">
        <f t="shared" si="18"/>
        <v>0</v>
      </c>
      <c r="U29" s="403">
        <f t="shared" si="18"/>
        <v>0</v>
      </c>
      <c r="V29" s="403">
        <f t="shared" si="18"/>
        <v>0</v>
      </c>
      <c r="W29" s="403">
        <f t="shared" si="18"/>
        <v>0</v>
      </c>
      <c r="X29" s="403">
        <f t="shared" si="18"/>
        <v>0</v>
      </c>
      <c r="Y29" s="403">
        <f t="shared" si="18"/>
        <v>0</v>
      </c>
      <c r="Z29" s="403">
        <f t="shared" si="18"/>
        <v>0</v>
      </c>
      <c r="AA29" s="403">
        <f t="shared" si="18"/>
        <v>0</v>
      </c>
      <c r="AB29" s="403">
        <f t="shared" si="18"/>
        <v>0</v>
      </c>
      <c r="AC29" s="1163">
        <f t="shared" si="18"/>
        <v>0</v>
      </c>
    </row>
    <row r="30" spans="1:29" ht="12">
      <c r="A30" s="56"/>
      <c r="B30" s="1203">
        <f>B8</f>
        <v>0.3549986011107681</v>
      </c>
      <c r="C30" s="571" t="str">
        <f>C19</f>
        <v>Tržby z výroby a prodeje plavidel z tuzemska</v>
      </c>
      <c r="D30" s="819">
        <f>SUM(E30:AC30,E40:AC40)</f>
        <v>0</v>
      </c>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30"/>
    </row>
    <row r="31" spans="1:29" ht="12">
      <c r="A31" s="56"/>
      <c r="B31" s="1203">
        <f>B9</f>
        <v>0.1</v>
      </c>
      <c r="C31" s="571" t="str">
        <f>C9</f>
        <v>Tržby z výroby a prodeje plavidel ze zahraničí</v>
      </c>
      <c r="D31" s="1100">
        <f>SUM(E31:AC31,E41:AC41)</f>
        <v>0</v>
      </c>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30"/>
    </row>
    <row r="32" spans="1:29" ht="12">
      <c r="A32" s="56"/>
      <c r="B32" s="818"/>
      <c r="C32" s="573" t="str">
        <f>C21</f>
        <v>Přidaná hodnota výroby plavidel</v>
      </c>
      <c r="D32" s="1100">
        <f>SUM(E32:AC32,E42:AC42)</f>
        <v>0</v>
      </c>
      <c r="E32" s="403">
        <f>E30*$I$65+$B$31*E31</f>
        <v>0</v>
      </c>
      <c r="F32" s="403">
        <f aca="true" t="shared" si="19" ref="F32:AC32">F30*$I$65+$B$31*F31</f>
        <v>0</v>
      </c>
      <c r="G32" s="403">
        <f t="shared" si="19"/>
        <v>0</v>
      </c>
      <c r="H32" s="403">
        <f t="shared" si="19"/>
        <v>0</v>
      </c>
      <c r="I32" s="403">
        <f t="shared" si="19"/>
        <v>0</v>
      </c>
      <c r="J32" s="403">
        <f t="shared" si="19"/>
        <v>0</v>
      </c>
      <c r="K32" s="403">
        <f t="shared" si="19"/>
        <v>0</v>
      </c>
      <c r="L32" s="403">
        <f t="shared" si="19"/>
        <v>0</v>
      </c>
      <c r="M32" s="403">
        <f t="shared" si="19"/>
        <v>0</v>
      </c>
      <c r="N32" s="403">
        <f t="shared" si="19"/>
        <v>0</v>
      </c>
      <c r="O32" s="403">
        <f t="shared" si="19"/>
        <v>0</v>
      </c>
      <c r="P32" s="403">
        <f t="shared" si="19"/>
        <v>0</v>
      </c>
      <c r="Q32" s="403">
        <f t="shared" si="19"/>
        <v>0</v>
      </c>
      <c r="R32" s="403">
        <f t="shared" si="19"/>
        <v>0</v>
      </c>
      <c r="S32" s="403">
        <f t="shared" si="19"/>
        <v>0</v>
      </c>
      <c r="T32" s="403">
        <f t="shared" si="19"/>
        <v>0</v>
      </c>
      <c r="U32" s="403">
        <f t="shared" si="19"/>
        <v>0</v>
      </c>
      <c r="V32" s="403">
        <f t="shared" si="19"/>
        <v>0</v>
      </c>
      <c r="W32" s="403">
        <f t="shared" si="19"/>
        <v>0</v>
      </c>
      <c r="X32" s="403">
        <f t="shared" si="19"/>
        <v>0</v>
      </c>
      <c r="Y32" s="403">
        <f t="shared" si="19"/>
        <v>0</v>
      </c>
      <c r="Z32" s="403">
        <f t="shared" si="19"/>
        <v>0</v>
      </c>
      <c r="AA32" s="403">
        <f t="shared" si="19"/>
        <v>0</v>
      </c>
      <c r="AB32" s="403">
        <f t="shared" si="19"/>
        <v>0</v>
      </c>
      <c r="AC32" s="403">
        <f t="shared" si="19"/>
        <v>0</v>
      </c>
    </row>
    <row r="33" spans="1:29" ht="12.75" thickBot="1">
      <c r="A33" s="56"/>
      <c r="B33" s="574"/>
      <c r="C33" s="575" t="str">
        <f>C11</f>
        <v>Celkem</v>
      </c>
      <c r="D33" s="822">
        <f>SUM(E33:AC33,E43:AC43)</f>
        <v>0</v>
      </c>
      <c r="E33" s="393">
        <f>E28+E29+E32</f>
        <v>0</v>
      </c>
      <c r="F33" s="393">
        <f aca="true" t="shared" si="20" ref="F33:AC33">F28+F29+F32</f>
        <v>0</v>
      </c>
      <c r="G33" s="393">
        <f t="shared" si="20"/>
        <v>0</v>
      </c>
      <c r="H33" s="393">
        <f t="shared" si="20"/>
        <v>0</v>
      </c>
      <c r="I33" s="393">
        <f t="shared" si="20"/>
        <v>0</v>
      </c>
      <c r="J33" s="393">
        <f t="shared" si="20"/>
        <v>0</v>
      </c>
      <c r="K33" s="393">
        <f t="shared" si="20"/>
        <v>0</v>
      </c>
      <c r="L33" s="393">
        <f t="shared" si="20"/>
        <v>0</v>
      </c>
      <c r="M33" s="393">
        <f t="shared" si="20"/>
        <v>0</v>
      </c>
      <c r="N33" s="393">
        <f t="shared" si="20"/>
        <v>0</v>
      </c>
      <c r="O33" s="393">
        <f t="shared" si="20"/>
        <v>0</v>
      </c>
      <c r="P33" s="393">
        <f t="shared" si="20"/>
        <v>0</v>
      </c>
      <c r="Q33" s="393">
        <f t="shared" si="20"/>
        <v>0</v>
      </c>
      <c r="R33" s="393">
        <f t="shared" si="20"/>
        <v>0</v>
      </c>
      <c r="S33" s="393">
        <f t="shared" si="20"/>
        <v>0</v>
      </c>
      <c r="T33" s="393">
        <f t="shared" si="20"/>
        <v>0</v>
      </c>
      <c r="U33" s="393">
        <f t="shared" si="20"/>
        <v>0</v>
      </c>
      <c r="V33" s="393">
        <f t="shared" si="20"/>
        <v>0</v>
      </c>
      <c r="W33" s="393">
        <f t="shared" si="20"/>
        <v>0</v>
      </c>
      <c r="X33" s="393">
        <f t="shared" si="20"/>
        <v>0</v>
      </c>
      <c r="Y33" s="393">
        <f t="shared" si="20"/>
        <v>0</v>
      </c>
      <c r="Z33" s="393">
        <f t="shared" si="20"/>
        <v>0</v>
      </c>
      <c r="AA33" s="393">
        <f t="shared" si="20"/>
        <v>0</v>
      </c>
      <c r="AB33" s="393">
        <f t="shared" si="20"/>
        <v>0</v>
      </c>
      <c r="AC33" s="429">
        <f t="shared" si="20"/>
        <v>0</v>
      </c>
    </row>
    <row r="34" spans="1:29" ht="12" thickBot="1">
      <c r="A34" s="56"/>
      <c r="B34" s="65"/>
      <c r="C34" s="56"/>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row>
    <row r="35" spans="1:29" ht="12.75">
      <c r="A35" s="58"/>
      <c r="B35" s="410" t="str">
        <f>B25</f>
        <v>8.2.</v>
      </c>
      <c r="C35" s="409" t="str">
        <f>C2</f>
        <v>Osobní a rekreační plavba</v>
      </c>
      <c r="D35" s="824" t="str">
        <f>D13</f>
        <v>CZK</v>
      </c>
      <c r="E35" s="1392">
        <f>AC25+1</f>
        <v>2039</v>
      </c>
      <c r="F35" s="1363">
        <f aca="true" t="shared" si="21" ref="F35:S35">E35+1</f>
        <v>2040</v>
      </c>
      <c r="G35" s="1363">
        <f t="shared" si="21"/>
        <v>2041</v>
      </c>
      <c r="H35" s="1363">
        <f t="shared" si="21"/>
        <v>2042</v>
      </c>
      <c r="I35" s="1363">
        <f t="shared" si="21"/>
        <v>2043</v>
      </c>
      <c r="J35" s="1363">
        <f t="shared" si="21"/>
        <v>2044</v>
      </c>
      <c r="K35" s="1363">
        <f t="shared" si="21"/>
        <v>2045</v>
      </c>
      <c r="L35" s="1363">
        <f t="shared" si="21"/>
        <v>2046</v>
      </c>
      <c r="M35" s="1363">
        <f t="shared" si="21"/>
        <v>2047</v>
      </c>
      <c r="N35" s="1363">
        <f t="shared" si="21"/>
        <v>2048</v>
      </c>
      <c r="O35" s="1363">
        <f t="shared" si="21"/>
        <v>2049</v>
      </c>
      <c r="P35" s="1363">
        <f t="shared" si="21"/>
        <v>2050</v>
      </c>
      <c r="Q35" s="1363">
        <f t="shared" si="21"/>
        <v>2051</v>
      </c>
      <c r="R35" s="1363">
        <f t="shared" si="21"/>
        <v>2052</v>
      </c>
      <c r="S35" s="1363">
        <f t="shared" si="21"/>
        <v>2053</v>
      </c>
      <c r="T35" s="1363">
        <f aca="true" t="shared" si="22" ref="T35:AC35">S35+1</f>
        <v>2054</v>
      </c>
      <c r="U35" s="1363">
        <f t="shared" si="22"/>
        <v>2055</v>
      </c>
      <c r="V35" s="1363">
        <f t="shared" si="22"/>
        <v>2056</v>
      </c>
      <c r="W35" s="1363">
        <f t="shared" si="22"/>
        <v>2057</v>
      </c>
      <c r="X35" s="1363">
        <f t="shared" si="22"/>
        <v>2058</v>
      </c>
      <c r="Y35" s="1363">
        <f t="shared" si="22"/>
        <v>2059</v>
      </c>
      <c r="Z35" s="1363">
        <f t="shared" si="22"/>
        <v>2060</v>
      </c>
      <c r="AA35" s="1363">
        <f t="shared" si="22"/>
        <v>2061</v>
      </c>
      <c r="AB35" s="1363">
        <f t="shared" si="22"/>
        <v>2062</v>
      </c>
      <c r="AC35" s="1361">
        <f t="shared" si="22"/>
        <v>2063</v>
      </c>
    </row>
    <row r="36" spans="1:29" ht="13.5" thickBot="1">
      <c r="A36" s="56"/>
      <c r="B36" s="411" t="s">
        <v>19</v>
      </c>
      <c r="C36" s="413" t="str">
        <f>C26</f>
        <v>Scénář bez projektu</v>
      </c>
      <c r="D36" s="424"/>
      <c r="E36" s="1393">
        <f>S26+1</f>
        <v>1</v>
      </c>
      <c r="F36" s="1364"/>
      <c r="G36" s="1364"/>
      <c r="H36" s="1364"/>
      <c r="I36" s="1364"/>
      <c r="J36" s="1364"/>
      <c r="K36" s="1364"/>
      <c r="L36" s="1364"/>
      <c r="M36" s="1364"/>
      <c r="N36" s="1364"/>
      <c r="O36" s="1364"/>
      <c r="P36" s="1364"/>
      <c r="Q36" s="1364"/>
      <c r="R36" s="1364"/>
      <c r="S36" s="1364"/>
      <c r="T36" s="1364"/>
      <c r="U36" s="1364"/>
      <c r="V36" s="1364"/>
      <c r="W36" s="1364"/>
      <c r="X36" s="1364"/>
      <c r="Y36" s="1364"/>
      <c r="Z36" s="1364"/>
      <c r="AA36" s="1364"/>
      <c r="AB36" s="1364"/>
      <c r="AC36" s="1362"/>
    </row>
    <row r="37" spans="1:29" ht="12">
      <c r="A37" s="56"/>
      <c r="B37" s="1477"/>
      <c r="C37" s="576" t="str">
        <f>C4</f>
        <v>Celkové tržby</v>
      </c>
      <c r="D37" s="577"/>
      <c r="E37" s="1085"/>
      <c r="F37" s="1085"/>
      <c r="G37" s="1085"/>
      <c r="H37" s="1085"/>
      <c r="I37" s="1085"/>
      <c r="J37" s="1085"/>
      <c r="K37" s="1085"/>
      <c r="L37" s="1085"/>
      <c r="M37" s="1085"/>
      <c r="N37" s="1085"/>
      <c r="O37" s="1085"/>
      <c r="P37" s="1085"/>
      <c r="Q37" s="1085"/>
      <c r="R37" s="1085"/>
      <c r="S37" s="1085"/>
      <c r="T37" s="1085"/>
      <c r="U37" s="1085"/>
      <c r="V37" s="1085"/>
      <c r="W37" s="1085"/>
      <c r="X37" s="1085"/>
      <c r="Y37" s="1085"/>
      <c r="Z37" s="1085"/>
      <c r="AA37" s="1085"/>
      <c r="AB37" s="1085"/>
      <c r="AC37" s="1086"/>
    </row>
    <row r="38" spans="1:29" ht="12">
      <c r="A38" s="56"/>
      <c r="B38" s="1478"/>
      <c r="C38" s="576" t="str">
        <f>C5</f>
        <v>Přidaná hodnota segmentu trhu</v>
      </c>
      <c r="D38" s="580"/>
      <c r="E38" s="896">
        <f aca="true" t="shared" si="23" ref="E38:AC38">E37*$I$65</f>
        <v>0</v>
      </c>
      <c r="F38" s="57">
        <f t="shared" si="23"/>
        <v>0</v>
      </c>
      <c r="G38" s="57">
        <f t="shared" si="23"/>
        <v>0</v>
      </c>
      <c r="H38" s="57">
        <f t="shared" si="23"/>
        <v>0</v>
      </c>
      <c r="I38" s="57">
        <f t="shared" si="23"/>
        <v>0</v>
      </c>
      <c r="J38" s="57">
        <f t="shared" si="23"/>
        <v>0</v>
      </c>
      <c r="K38" s="57">
        <f t="shared" si="23"/>
        <v>0</v>
      </c>
      <c r="L38" s="57">
        <f t="shared" si="23"/>
        <v>0</v>
      </c>
      <c r="M38" s="57">
        <f t="shared" si="23"/>
        <v>0</v>
      </c>
      <c r="N38" s="57">
        <f t="shared" si="23"/>
        <v>0</v>
      </c>
      <c r="O38" s="57">
        <f t="shared" si="23"/>
        <v>0</v>
      </c>
      <c r="P38" s="57">
        <f t="shared" si="23"/>
        <v>0</v>
      </c>
      <c r="Q38" s="57">
        <f t="shared" si="23"/>
        <v>0</v>
      </c>
      <c r="R38" s="57">
        <f t="shared" si="23"/>
        <v>0</v>
      </c>
      <c r="S38" s="57">
        <f t="shared" si="23"/>
        <v>0</v>
      </c>
      <c r="T38" s="57">
        <f t="shared" si="23"/>
        <v>0</v>
      </c>
      <c r="U38" s="57">
        <f t="shared" si="23"/>
        <v>0</v>
      </c>
      <c r="V38" s="57">
        <f t="shared" si="23"/>
        <v>0</v>
      </c>
      <c r="W38" s="57">
        <f t="shared" si="23"/>
        <v>0</v>
      </c>
      <c r="X38" s="57">
        <f t="shared" si="23"/>
        <v>0</v>
      </c>
      <c r="Y38" s="57">
        <f t="shared" si="23"/>
        <v>0</v>
      </c>
      <c r="Z38" s="57">
        <f t="shared" si="23"/>
        <v>0</v>
      </c>
      <c r="AA38" s="57">
        <f t="shared" si="23"/>
        <v>0</v>
      </c>
      <c r="AB38" s="57">
        <f t="shared" si="23"/>
        <v>0</v>
      </c>
      <c r="AC38" s="549">
        <f t="shared" si="23"/>
        <v>0</v>
      </c>
    </row>
    <row r="39" spans="1:29" ht="12">
      <c r="A39" s="56"/>
      <c r="B39" s="829"/>
      <c r="C39" s="581" t="str">
        <f>C29</f>
        <v>Efekt mezispotřeby</v>
      </c>
      <c r="D39" s="582"/>
      <c r="E39" s="403">
        <f aca="true" t="shared" si="24" ref="E39:AC39">E38*$I$72</f>
        <v>0</v>
      </c>
      <c r="F39" s="403">
        <f t="shared" si="24"/>
        <v>0</v>
      </c>
      <c r="G39" s="403">
        <f t="shared" si="24"/>
        <v>0</v>
      </c>
      <c r="H39" s="403">
        <f t="shared" si="24"/>
        <v>0</v>
      </c>
      <c r="I39" s="403">
        <f t="shared" si="24"/>
        <v>0</v>
      </c>
      <c r="J39" s="403">
        <f t="shared" si="24"/>
        <v>0</v>
      </c>
      <c r="K39" s="403">
        <f t="shared" si="24"/>
        <v>0</v>
      </c>
      <c r="L39" s="403">
        <f t="shared" si="24"/>
        <v>0</v>
      </c>
      <c r="M39" s="403">
        <f t="shared" si="24"/>
        <v>0</v>
      </c>
      <c r="N39" s="403">
        <f t="shared" si="24"/>
        <v>0</v>
      </c>
      <c r="O39" s="403">
        <f t="shared" si="24"/>
        <v>0</v>
      </c>
      <c r="P39" s="403">
        <f t="shared" si="24"/>
        <v>0</v>
      </c>
      <c r="Q39" s="403">
        <f t="shared" si="24"/>
        <v>0</v>
      </c>
      <c r="R39" s="403">
        <f t="shared" si="24"/>
        <v>0</v>
      </c>
      <c r="S39" s="403">
        <f t="shared" si="24"/>
        <v>0</v>
      </c>
      <c r="T39" s="403">
        <f t="shared" si="24"/>
        <v>0</v>
      </c>
      <c r="U39" s="403">
        <f t="shared" si="24"/>
        <v>0</v>
      </c>
      <c r="V39" s="403">
        <f t="shared" si="24"/>
        <v>0</v>
      </c>
      <c r="W39" s="403">
        <f t="shared" si="24"/>
        <v>0</v>
      </c>
      <c r="X39" s="403">
        <f t="shared" si="24"/>
        <v>0</v>
      </c>
      <c r="Y39" s="403">
        <f t="shared" si="24"/>
        <v>0</v>
      </c>
      <c r="Z39" s="403">
        <f t="shared" si="24"/>
        <v>0</v>
      </c>
      <c r="AA39" s="403">
        <f t="shared" si="24"/>
        <v>0</v>
      </c>
      <c r="AB39" s="403">
        <f t="shared" si="24"/>
        <v>0</v>
      </c>
      <c r="AC39" s="825">
        <f t="shared" si="24"/>
        <v>0</v>
      </c>
    </row>
    <row r="40" spans="1:29" ht="12">
      <c r="A40" s="56"/>
      <c r="B40" s="827"/>
      <c r="C40" s="578" t="str">
        <f>C30</f>
        <v>Tržby z výroby a prodeje plavidel z tuzemska</v>
      </c>
      <c r="D40" s="579"/>
      <c r="E40" s="1096"/>
      <c r="F40" s="1096"/>
      <c r="G40" s="1096"/>
      <c r="H40" s="1096"/>
      <c r="I40" s="1096"/>
      <c r="J40" s="1096"/>
      <c r="K40" s="1096"/>
      <c r="L40" s="1096"/>
      <c r="M40" s="1096"/>
      <c r="N40" s="1096"/>
      <c r="O40" s="1096"/>
      <c r="P40" s="1096"/>
      <c r="Q40" s="1096"/>
      <c r="R40" s="1096"/>
      <c r="S40" s="1096"/>
      <c r="T40" s="1096"/>
      <c r="U40" s="1096"/>
      <c r="V40" s="1096"/>
      <c r="W40" s="1096"/>
      <c r="X40" s="1096"/>
      <c r="Y40" s="1096"/>
      <c r="Z40" s="1096"/>
      <c r="AA40" s="1096"/>
      <c r="AB40" s="1096"/>
      <c r="AC40" s="1097"/>
    </row>
    <row r="41" spans="1:29" ht="12">
      <c r="A41" s="56"/>
      <c r="B41" s="826"/>
      <c r="C41" s="576" t="str">
        <f>C31</f>
        <v>Tržby z výroby a prodeje plavidel ze zahraničí</v>
      </c>
      <c r="D41" s="580"/>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6"/>
    </row>
    <row r="42" spans="1:29" ht="12">
      <c r="A42" s="56"/>
      <c r="B42" s="818"/>
      <c r="C42" s="581" t="str">
        <f>C32</f>
        <v>Přidaná hodnota výroby plavidel</v>
      </c>
      <c r="D42" s="582"/>
      <c r="E42" s="403">
        <f>E40*$I$65+$B$31*E41</f>
        <v>0</v>
      </c>
      <c r="F42" s="403">
        <f>F40*$I$65+$B$31*F41</f>
        <v>0</v>
      </c>
      <c r="G42" s="403">
        <f>G40*$I$65+$B$31*G41</f>
        <v>0</v>
      </c>
      <c r="H42" s="403">
        <f>H40*$I$65+$B$31*H41</f>
        <v>0</v>
      </c>
      <c r="I42" s="403">
        <f>I40*$I$65+$B$31*I41</f>
        <v>0</v>
      </c>
      <c r="J42" s="403">
        <f>J40*$I$65+$B$31*J41</f>
        <v>0</v>
      </c>
      <c r="K42" s="403">
        <f>K40*$I$65+$B$31*K41</f>
        <v>0</v>
      </c>
      <c r="L42" s="403">
        <f>L40*$I$65+$B$31*L41</f>
        <v>0</v>
      </c>
      <c r="M42" s="403">
        <f>M40*$I$65+$B$31*M41</f>
        <v>0</v>
      </c>
      <c r="N42" s="403">
        <f>N40*$I$65+$B$31*N41</f>
        <v>0</v>
      </c>
      <c r="O42" s="403">
        <f>O40*$I$65+$B$31*O41</f>
        <v>0</v>
      </c>
      <c r="P42" s="403">
        <f>P40*$I$65+$B$31*P41</f>
        <v>0</v>
      </c>
      <c r="Q42" s="403">
        <f>Q40*$I$65+$B$31*Q41</f>
        <v>0</v>
      </c>
      <c r="R42" s="403">
        <f>R40*$I$65+$B$31*R41</f>
        <v>0</v>
      </c>
      <c r="S42" s="403">
        <f>S40*$I$65+$B$31*S41</f>
        <v>0</v>
      </c>
      <c r="T42" s="403">
        <f>T40*$I$65+$B$31*T41</f>
        <v>0</v>
      </c>
      <c r="U42" s="403">
        <f>U40*$I$65+$B$31*U41</f>
        <v>0</v>
      </c>
      <c r="V42" s="403">
        <f>V40*$I$65+$B$31*V41</f>
        <v>0</v>
      </c>
      <c r="W42" s="403">
        <f>W40*$I$65+$B$31*W41</f>
        <v>0</v>
      </c>
      <c r="X42" s="403">
        <f>X40*$I$65+$B$31*X41</f>
        <v>0</v>
      </c>
      <c r="Y42" s="403">
        <f>Y40*$I$65+$B$31*Y41</f>
        <v>0</v>
      </c>
      <c r="Z42" s="403">
        <f>Z40*$I$65+$B$31*Z41</f>
        <v>0</v>
      </c>
      <c r="AA42" s="403">
        <f>AA40*$I$65+$B$31*AA41</f>
        <v>0</v>
      </c>
      <c r="AB42" s="403">
        <f>AB40*$I$65+$B$31*AB41</f>
        <v>0</v>
      </c>
      <c r="AC42" s="403">
        <f>AC40*$I$65+$B$31*AC41</f>
        <v>0</v>
      </c>
    </row>
    <row r="43" spans="1:29" ht="12.75" thickBot="1">
      <c r="A43" s="48"/>
      <c r="B43" s="574"/>
      <c r="C43" s="583" t="str">
        <f>C11</f>
        <v>Celkem</v>
      </c>
      <c r="D43" s="584"/>
      <c r="E43" s="393">
        <f>E38+E39+E42</f>
        <v>0</v>
      </c>
      <c r="F43" s="393">
        <f>F38+F39+F42</f>
        <v>0</v>
      </c>
      <c r="G43" s="393">
        <f>G38+G39+G42</f>
        <v>0</v>
      </c>
      <c r="H43" s="393">
        <f>H38+H39+H42</f>
        <v>0</v>
      </c>
      <c r="I43" s="393">
        <f>I38+I39+I42</f>
        <v>0</v>
      </c>
      <c r="J43" s="393">
        <f>J38+J39+J42</f>
        <v>0</v>
      </c>
      <c r="K43" s="393">
        <f>K38+K39+K42</f>
        <v>0</v>
      </c>
      <c r="L43" s="393">
        <f>L38+L39+L42</f>
        <v>0</v>
      </c>
      <c r="M43" s="393">
        <f>M38+M39+M42</f>
        <v>0</v>
      </c>
      <c r="N43" s="393">
        <f>N38+N39+N42</f>
        <v>0</v>
      </c>
      <c r="O43" s="393">
        <f>O38+O39+O42</f>
        <v>0</v>
      </c>
      <c r="P43" s="393">
        <f>P38+P39+P42</f>
        <v>0</v>
      </c>
      <c r="Q43" s="393">
        <f>Q38+Q39+Q42</f>
        <v>0</v>
      </c>
      <c r="R43" s="393">
        <f>R38+R39+R42</f>
        <v>0</v>
      </c>
      <c r="S43" s="393">
        <f>S38+S39+S42</f>
        <v>0</v>
      </c>
      <c r="T43" s="393">
        <f>T38+T39+T42</f>
        <v>0</v>
      </c>
      <c r="U43" s="393">
        <f>U38+U39+U42</f>
        <v>0</v>
      </c>
      <c r="V43" s="393">
        <f>V38+V39+V42</f>
        <v>0</v>
      </c>
      <c r="W43" s="393">
        <f>W38+W39+W42</f>
        <v>0</v>
      </c>
      <c r="X43" s="393">
        <f>X38+X39+X42</f>
        <v>0</v>
      </c>
      <c r="Y43" s="393">
        <f>Y38+Y39+Y42</f>
        <v>0</v>
      </c>
      <c r="Z43" s="393">
        <f>Z38+Z39+Z42</f>
        <v>0</v>
      </c>
      <c r="AA43" s="393">
        <f>AA38+AA39+AA42</f>
        <v>0</v>
      </c>
      <c r="AB43" s="393">
        <f>AB38+AB39+AB42</f>
        <v>0</v>
      </c>
      <c r="AC43" s="429">
        <f>AC38+AC39+AC42</f>
        <v>0</v>
      </c>
    </row>
    <row r="44" spans="1:29" ht="11.25">
      <c r="A44" s="48"/>
      <c r="B44" s="63"/>
      <c r="C44" s="48"/>
      <c r="D44" s="57"/>
      <c r="E44" s="64"/>
      <c r="F44" s="64"/>
      <c r="G44" s="64"/>
      <c r="H44" s="64"/>
      <c r="I44" s="64"/>
      <c r="J44" s="64"/>
      <c r="K44" s="64"/>
      <c r="L44" s="64"/>
      <c r="M44" s="64"/>
      <c r="N44" s="64"/>
      <c r="O44" s="64"/>
      <c r="P44" s="64"/>
      <c r="Q44" s="64"/>
      <c r="R44" s="64"/>
      <c r="S44" s="64"/>
      <c r="T44" s="64"/>
      <c r="U44" s="64"/>
      <c r="V44" s="64"/>
      <c r="W44" s="64"/>
      <c r="X44" s="64"/>
      <c r="Y44" s="64"/>
      <c r="Z44" s="64"/>
      <c r="AA44" s="64"/>
      <c r="AB44" s="64"/>
      <c r="AC44" s="64"/>
    </row>
    <row r="45" spans="1:29" ht="12" thickBot="1">
      <c r="A45" s="56"/>
      <c r="B45" s="63"/>
      <c r="C45" s="58"/>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row>
    <row r="46" spans="1:29" ht="12.75">
      <c r="A46" s="58"/>
      <c r="B46" s="410" t="s">
        <v>283</v>
      </c>
      <c r="C46" s="409" t="str">
        <f>C2</f>
        <v>Osobní a rekreační plavba</v>
      </c>
      <c r="D46" s="528"/>
      <c r="E46" s="1363">
        <f>E2</f>
        <v>2014</v>
      </c>
      <c r="F46" s="1363">
        <f aca="true" t="shared" si="25" ref="F46:S46">E46+1</f>
        <v>2015</v>
      </c>
      <c r="G46" s="1363">
        <f t="shared" si="25"/>
        <v>2016</v>
      </c>
      <c r="H46" s="1363">
        <f t="shared" si="25"/>
        <v>2017</v>
      </c>
      <c r="I46" s="1363">
        <f t="shared" si="25"/>
        <v>2018</v>
      </c>
      <c r="J46" s="1363">
        <f t="shared" si="25"/>
        <v>2019</v>
      </c>
      <c r="K46" s="1363">
        <f t="shared" si="25"/>
        <v>2020</v>
      </c>
      <c r="L46" s="1363">
        <f t="shared" si="25"/>
        <v>2021</v>
      </c>
      <c r="M46" s="1363">
        <f t="shared" si="25"/>
        <v>2022</v>
      </c>
      <c r="N46" s="1363">
        <f t="shared" si="25"/>
        <v>2023</v>
      </c>
      <c r="O46" s="1363">
        <f t="shared" si="25"/>
        <v>2024</v>
      </c>
      <c r="P46" s="1363">
        <f t="shared" si="25"/>
        <v>2025</v>
      </c>
      <c r="Q46" s="1363">
        <f t="shared" si="25"/>
        <v>2026</v>
      </c>
      <c r="R46" s="1363">
        <f t="shared" si="25"/>
        <v>2027</v>
      </c>
      <c r="S46" s="1363">
        <f t="shared" si="25"/>
        <v>2028</v>
      </c>
      <c r="T46" s="1363">
        <f aca="true" t="shared" si="26" ref="T46:AC46">S46+1</f>
        <v>2029</v>
      </c>
      <c r="U46" s="1363">
        <f t="shared" si="26"/>
        <v>2030</v>
      </c>
      <c r="V46" s="1363">
        <f t="shared" si="26"/>
        <v>2031</v>
      </c>
      <c r="W46" s="1363">
        <f t="shared" si="26"/>
        <v>2032</v>
      </c>
      <c r="X46" s="1363">
        <f t="shared" si="26"/>
        <v>2033</v>
      </c>
      <c r="Y46" s="1363">
        <f t="shared" si="26"/>
        <v>2034</v>
      </c>
      <c r="Z46" s="1363">
        <f t="shared" si="26"/>
        <v>2035</v>
      </c>
      <c r="AA46" s="1363">
        <f t="shared" si="26"/>
        <v>2036</v>
      </c>
      <c r="AB46" s="1363">
        <f t="shared" si="26"/>
        <v>2037</v>
      </c>
      <c r="AC46" s="1361">
        <f t="shared" si="26"/>
        <v>2038</v>
      </c>
    </row>
    <row r="47" spans="1:29" ht="13.5" thickBot="1">
      <c r="A47" s="58"/>
      <c r="B47" s="411" t="s">
        <v>17</v>
      </c>
      <c r="C47" s="439"/>
      <c r="D47" s="417" t="str">
        <f>D3</f>
        <v>Celkem</v>
      </c>
      <c r="E47" s="1364"/>
      <c r="F47" s="1364"/>
      <c r="G47" s="1364"/>
      <c r="H47" s="1364"/>
      <c r="I47" s="1364"/>
      <c r="J47" s="1364"/>
      <c r="K47" s="1364"/>
      <c r="L47" s="1364"/>
      <c r="M47" s="1364"/>
      <c r="N47" s="1364"/>
      <c r="O47" s="1364"/>
      <c r="P47" s="1364"/>
      <c r="Q47" s="1364"/>
      <c r="R47" s="1364"/>
      <c r="S47" s="1364"/>
      <c r="T47" s="1364"/>
      <c r="U47" s="1364"/>
      <c r="V47" s="1364"/>
      <c r="W47" s="1364"/>
      <c r="X47" s="1364"/>
      <c r="Y47" s="1364"/>
      <c r="Z47" s="1364"/>
      <c r="AA47" s="1364"/>
      <c r="AB47" s="1364"/>
      <c r="AC47" s="1362"/>
    </row>
    <row r="48" spans="1:29" ht="12">
      <c r="A48" s="66"/>
      <c r="B48" s="815"/>
      <c r="C48" s="1156" t="str">
        <f>IF('0 Úvod'!$M$3="English",Slovnik!D260,Slovnik!C260)</f>
        <v>Přidaná hodnota a efekt mezispotřeby</v>
      </c>
      <c r="D48" s="833">
        <f>SUM(E48:AC48,E55:AC55)</f>
        <v>0</v>
      </c>
      <c r="E48" s="57">
        <f>E5+E6-E28-E29</f>
        <v>0</v>
      </c>
      <c r="F48" s="57">
        <f>F5+F6-F28-F29</f>
        <v>0</v>
      </c>
      <c r="G48" s="57">
        <f aca="true" t="shared" si="27" ref="G48:AC48">G5+G6-G28-G29</f>
        <v>0</v>
      </c>
      <c r="H48" s="57">
        <f t="shared" si="27"/>
        <v>0</v>
      </c>
      <c r="I48" s="57">
        <f t="shared" si="27"/>
        <v>0</v>
      </c>
      <c r="J48" s="57">
        <f t="shared" si="27"/>
        <v>0</v>
      </c>
      <c r="K48" s="57">
        <f t="shared" si="27"/>
        <v>0</v>
      </c>
      <c r="L48" s="57">
        <f t="shared" si="27"/>
        <v>0</v>
      </c>
      <c r="M48" s="57">
        <f t="shared" si="27"/>
        <v>0</v>
      </c>
      <c r="N48" s="57">
        <f t="shared" si="27"/>
        <v>0</v>
      </c>
      <c r="O48" s="57">
        <f t="shared" si="27"/>
        <v>0</v>
      </c>
      <c r="P48" s="57">
        <f t="shared" si="27"/>
        <v>0</v>
      </c>
      <c r="Q48" s="57">
        <f t="shared" si="27"/>
        <v>0</v>
      </c>
      <c r="R48" s="57">
        <f t="shared" si="27"/>
        <v>0</v>
      </c>
      <c r="S48" s="57">
        <f t="shared" si="27"/>
        <v>0</v>
      </c>
      <c r="T48" s="57">
        <f t="shared" si="27"/>
        <v>0</v>
      </c>
      <c r="U48" s="57">
        <f t="shared" si="27"/>
        <v>0</v>
      </c>
      <c r="V48" s="57">
        <f t="shared" si="27"/>
        <v>0</v>
      </c>
      <c r="W48" s="57">
        <f t="shared" si="27"/>
        <v>0</v>
      </c>
      <c r="X48" s="57">
        <f t="shared" si="27"/>
        <v>0</v>
      </c>
      <c r="Y48" s="57">
        <f t="shared" si="27"/>
        <v>0</v>
      </c>
      <c r="Z48" s="57">
        <f t="shared" si="27"/>
        <v>0</v>
      </c>
      <c r="AA48" s="57">
        <f t="shared" si="27"/>
        <v>0</v>
      </c>
      <c r="AB48" s="57">
        <f t="shared" si="27"/>
        <v>0</v>
      </c>
      <c r="AC48" s="549">
        <f t="shared" si="27"/>
        <v>0</v>
      </c>
    </row>
    <row r="49" spans="1:29" ht="12">
      <c r="A49" s="66"/>
      <c r="B49" s="816"/>
      <c r="C49" s="1157" t="str">
        <f>IF('0 Úvod'!$M$3="English",Slovnik!D261,Slovnik!C261)</f>
        <v>Přínos přímé zaměstnanosti</v>
      </c>
      <c r="D49" s="820">
        <f>SUM(E49:AC49,E56:AC56)</f>
        <v>0</v>
      </c>
      <c r="E49" s="804">
        <f aca="true" t="shared" si="28" ref="E49:AC49">E7</f>
        <v>0</v>
      </c>
      <c r="F49" s="804">
        <f t="shared" si="28"/>
        <v>0</v>
      </c>
      <c r="G49" s="804">
        <f t="shared" si="28"/>
        <v>0</v>
      </c>
      <c r="H49" s="804">
        <f t="shared" si="28"/>
        <v>0</v>
      </c>
      <c r="I49" s="804">
        <f t="shared" si="28"/>
        <v>0</v>
      </c>
      <c r="J49" s="804">
        <f t="shared" si="28"/>
        <v>0</v>
      </c>
      <c r="K49" s="804">
        <f t="shared" si="28"/>
        <v>0</v>
      </c>
      <c r="L49" s="804">
        <f t="shared" si="28"/>
        <v>0</v>
      </c>
      <c r="M49" s="804">
        <f t="shared" si="28"/>
        <v>0</v>
      </c>
      <c r="N49" s="804">
        <f t="shared" si="28"/>
        <v>0</v>
      </c>
      <c r="O49" s="804">
        <f t="shared" si="28"/>
        <v>0</v>
      </c>
      <c r="P49" s="804">
        <f t="shared" si="28"/>
        <v>0</v>
      </c>
      <c r="Q49" s="804">
        <f t="shared" si="28"/>
        <v>0</v>
      </c>
      <c r="R49" s="804">
        <f t="shared" si="28"/>
        <v>0</v>
      </c>
      <c r="S49" s="804">
        <f t="shared" si="28"/>
        <v>0</v>
      </c>
      <c r="T49" s="804">
        <f t="shared" si="28"/>
        <v>0</v>
      </c>
      <c r="U49" s="804">
        <f t="shared" si="28"/>
        <v>0</v>
      </c>
      <c r="V49" s="804">
        <f t="shared" si="28"/>
        <v>0</v>
      </c>
      <c r="W49" s="804">
        <f t="shared" si="28"/>
        <v>0</v>
      </c>
      <c r="X49" s="804">
        <f t="shared" si="28"/>
        <v>0</v>
      </c>
      <c r="Y49" s="804">
        <f t="shared" si="28"/>
        <v>0</v>
      </c>
      <c r="Z49" s="804">
        <f t="shared" si="28"/>
        <v>0</v>
      </c>
      <c r="AA49" s="804">
        <f t="shared" si="28"/>
        <v>0</v>
      </c>
      <c r="AB49" s="804">
        <f t="shared" si="28"/>
        <v>0</v>
      </c>
      <c r="AC49" s="817">
        <f t="shared" si="28"/>
        <v>0</v>
      </c>
    </row>
    <row r="50" spans="1:29" ht="12">
      <c r="A50" s="66"/>
      <c r="B50" s="818"/>
      <c r="C50" s="573" t="str">
        <f>IF('0 Úvod'!$M$3="English",Slovnik!D262,Slovnik!C262)</f>
        <v>Přidaná hodnota výroby plavidel</v>
      </c>
      <c r="D50" s="821">
        <f>SUM(E50:AC50,E57:AC57)</f>
        <v>0</v>
      </c>
      <c r="E50" s="404">
        <f aca="true" t="shared" si="29" ref="E50:AC50">E10-E32</f>
        <v>0</v>
      </c>
      <c r="F50" s="404">
        <f t="shared" si="29"/>
        <v>0</v>
      </c>
      <c r="G50" s="404">
        <f t="shared" si="29"/>
        <v>0</v>
      </c>
      <c r="H50" s="404">
        <f t="shared" si="29"/>
        <v>0</v>
      </c>
      <c r="I50" s="404">
        <f t="shared" si="29"/>
        <v>0</v>
      </c>
      <c r="J50" s="404">
        <f t="shared" si="29"/>
        <v>0</v>
      </c>
      <c r="K50" s="404">
        <f t="shared" si="29"/>
        <v>0</v>
      </c>
      <c r="L50" s="404">
        <f t="shared" si="29"/>
        <v>0</v>
      </c>
      <c r="M50" s="404">
        <f t="shared" si="29"/>
        <v>0</v>
      </c>
      <c r="N50" s="404">
        <f t="shared" si="29"/>
        <v>0</v>
      </c>
      <c r="O50" s="404">
        <f t="shared" si="29"/>
        <v>0</v>
      </c>
      <c r="P50" s="404">
        <f t="shared" si="29"/>
        <v>0</v>
      </c>
      <c r="Q50" s="404">
        <f t="shared" si="29"/>
        <v>0</v>
      </c>
      <c r="R50" s="404">
        <f t="shared" si="29"/>
        <v>0</v>
      </c>
      <c r="S50" s="404">
        <f t="shared" si="29"/>
        <v>0</v>
      </c>
      <c r="T50" s="404">
        <f t="shared" si="29"/>
        <v>0</v>
      </c>
      <c r="U50" s="404">
        <f t="shared" si="29"/>
        <v>0</v>
      </c>
      <c r="V50" s="404">
        <f t="shared" si="29"/>
        <v>0</v>
      </c>
      <c r="W50" s="404">
        <f t="shared" si="29"/>
        <v>0</v>
      </c>
      <c r="X50" s="404">
        <f t="shared" si="29"/>
        <v>0</v>
      </c>
      <c r="Y50" s="404">
        <f t="shared" si="29"/>
        <v>0</v>
      </c>
      <c r="Z50" s="404">
        <f t="shared" si="29"/>
        <v>0</v>
      </c>
      <c r="AA50" s="404">
        <f t="shared" si="29"/>
        <v>0</v>
      </c>
      <c r="AB50" s="404">
        <f t="shared" si="29"/>
        <v>0</v>
      </c>
      <c r="AC50" s="408">
        <f t="shared" si="29"/>
        <v>0</v>
      </c>
    </row>
    <row r="51" spans="1:29" ht="12.75" thickBot="1">
      <c r="A51" s="56"/>
      <c r="B51" s="574"/>
      <c r="C51" s="575" t="str">
        <f>C11</f>
        <v>Celkem</v>
      </c>
      <c r="D51" s="822">
        <f>SUM(E51:AC51,E58:AC58)</f>
        <v>0</v>
      </c>
      <c r="E51" s="428">
        <f aca="true" t="shared" si="30" ref="E51:AC51">E11-E33</f>
        <v>0</v>
      </c>
      <c r="F51" s="428">
        <f t="shared" si="30"/>
        <v>0</v>
      </c>
      <c r="G51" s="428">
        <f t="shared" si="30"/>
        <v>0</v>
      </c>
      <c r="H51" s="428">
        <f t="shared" si="30"/>
        <v>0</v>
      </c>
      <c r="I51" s="428">
        <f t="shared" si="30"/>
        <v>0</v>
      </c>
      <c r="J51" s="428">
        <f t="shared" si="30"/>
        <v>0</v>
      </c>
      <c r="K51" s="428">
        <f t="shared" si="30"/>
        <v>0</v>
      </c>
      <c r="L51" s="428">
        <f t="shared" si="30"/>
        <v>0</v>
      </c>
      <c r="M51" s="428">
        <f t="shared" si="30"/>
        <v>0</v>
      </c>
      <c r="N51" s="428">
        <f t="shared" si="30"/>
        <v>0</v>
      </c>
      <c r="O51" s="428">
        <f t="shared" si="30"/>
        <v>0</v>
      </c>
      <c r="P51" s="428">
        <f t="shared" si="30"/>
        <v>0</v>
      </c>
      <c r="Q51" s="428">
        <f t="shared" si="30"/>
        <v>0</v>
      </c>
      <c r="R51" s="428">
        <f t="shared" si="30"/>
        <v>0</v>
      </c>
      <c r="S51" s="428">
        <f t="shared" si="30"/>
        <v>0</v>
      </c>
      <c r="T51" s="428">
        <f t="shared" si="30"/>
        <v>0</v>
      </c>
      <c r="U51" s="428">
        <f t="shared" si="30"/>
        <v>0</v>
      </c>
      <c r="V51" s="428">
        <f t="shared" si="30"/>
        <v>0</v>
      </c>
      <c r="W51" s="428">
        <f t="shared" si="30"/>
        <v>0</v>
      </c>
      <c r="X51" s="428">
        <f t="shared" si="30"/>
        <v>0</v>
      </c>
      <c r="Y51" s="428">
        <f t="shared" si="30"/>
        <v>0</v>
      </c>
      <c r="Z51" s="428">
        <f t="shared" si="30"/>
        <v>0</v>
      </c>
      <c r="AA51" s="428">
        <f t="shared" si="30"/>
        <v>0</v>
      </c>
      <c r="AB51" s="428">
        <f t="shared" si="30"/>
        <v>0</v>
      </c>
      <c r="AC51" s="429">
        <f t="shared" si="30"/>
        <v>0</v>
      </c>
    </row>
    <row r="52" spans="1:29" ht="12" thickBot="1">
      <c r="A52" s="56"/>
      <c r="B52" s="61"/>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row>
    <row r="53" spans="1:29" ht="12.75">
      <c r="A53" s="58"/>
      <c r="B53" s="410" t="str">
        <f>B46</f>
        <v>8.3.</v>
      </c>
      <c r="C53" s="1158" t="str">
        <f>C2</f>
        <v>Osobní a rekreační plavba</v>
      </c>
      <c r="D53" s="1159"/>
      <c r="E53" s="1363">
        <f>AC46+1</f>
        <v>2039</v>
      </c>
      <c r="F53" s="1363">
        <f aca="true" t="shared" si="31" ref="F53:S53">E53+1</f>
        <v>2040</v>
      </c>
      <c r="G53" s="1363">
        <f t="shared" si="31"/>
        <v>2041</v>
      </c>
      <c r="H53" s="1363">
        <f t="shared" si="31"/>
        <v>2042</v>
      </c>
      <c r="I53" s="1363">
        <f t="shared" si="31"/>
        <v>2043</v>
      </c>
      <c r="J53" s="1363">
        <f t="shared" si="31"/>
        <v>2044</v>
      </c>
      <c r="K53" s="1363">
        <f t="shared" si="31"/>
        <v>2045</v>
      </c>
      <c r="L53" s="1363">
        <f t="shared" si="31"/>
        <v>2046</v>
      </c>
      <c r="M53" s="1363">
        <f t="shared" si="31"/>
        <v>2047</v>
      </c>
      <c r="N53" s="1363">
        <f t="shared" si="31"/>
        <v>2048</v>
      </c>
      <c r="O53" s="1363">
        <f t="shared" si="31"/>
        <v>2049</v>
      </c>
      <c r="P53" s="1363">
        <f t="shared" si="31"/>
        <v>2050</v>
      </c>
      <c r="Q53" s="1363">
        <f t="shared" si="31"/>
        <v>2051</v>
      </c>
      <c r="R53" s="1363">
        <f t="shared" si="31"/>
        <v>2052</v>
      </c>
      <c r="S53" s="1363">
        <f t="shared" si="31"/>
        <v>2053</v>
      </c>
      <c r="T53" s="1363">
        <f aca="true" t="shared" si="32" ref="T53:AC53">S53+1</f>
        <v>2054</v>
      </c>
      <c r="U53" s="1363">
        <f t="shared" si="32"/>
        <v>2055</v>
      </c>
      <c r="V53" s="1363">
        <f t="shared" si="32"/>
        <v>2056</v>
      </c>
      <c r="W53" s="1363">
        <f t="shared" si="32"/>
        <v>2057</v>
      </c>
      <c r="X53" s="1363">
        <f t="shared" si="32"/>
        <v>2058</v>
      </c>
      <c r="Y53" s="1363">
        <f t="shared" si="32"/>
        <v>2059</v>
      </c>
      <c r="Z53" s="1363">
        <f t="shared" si="32"/>
        <v>2060</v>
      </c>
      <c r="AA53" s="1363">
        <f t="shared" si="32"/>
        <v>2061</v>
      </c>
      <c r="AB53" s="1363">
        <f t="shared" si="32"/>
        <v>2062</v>
      </c>
      <c r="AC53" s="1361">
        <f t="shared" si="32"/>
        <v>2063</v>
      </c>
    </row>
    <row r="54" spans="1:29" ht="13.5" thickBot="1">
      <c r="A54" s="58"/>
      <c r="B54" s="411" t="s">
        <v>19</v>
      </c>
      <c r="C54" s="413"/>
      <c r="D54" s="1160"/>
      <c r="E54" s="1364">
        <f>S47+1</f>
        <v>1</v>
      </c>
      <c r="F54" s="1364"/>
      <c r="G54" s="1364"/>
      <c r="H54" s="1364"/>
      <c r="I54" s="1364"/>
      <c r="J54" s="1364"/>
      <c r="K54" s="1364"/>
      <c r="L54" s="1364"/>
      <c r="M54" s="1364"/>
      <c r="N54" s="1364"/>
      <c r="O54" s="1364"/>
      <c r="P54" s="1364"/>
      <c r="Q54" s="1364"/>
      <c r="R54" s="1364"/>
      <c r="S54" s="1364"/>
      <c r="T54" s="1364"/>
      <c r="U54" s="1364"/>
      <c r="V54" s="1364"/>
      <c r="W54" s="1364"/>
      <c r="X54" s="1364"/>
      <c r="Y54" s="1364"/>
      <c r="Z54" s="1364"/>
      <c r="AA54" s="1364"/>
      <c r="AB54" s="1364"/>
      <c r="AC54" s="1362"/>
    </row>
    <row r="55" spans="1:29" ht="12">
      <c r="A55" s="66"/>
      <c r="B55" s="815"/>
      <c r="C55" s="576" t="str">
        <f>C48</f>
        <v>Přidaná hodnota a efekt mezispotřeby</v>
      </c>
      <c r="D55" s="580"/>
      <c r="E55" s="57">
        <f>E16+E17-E38-E39</f>
        <v>0</v>
      </c>
      <c r="F55" s="57">
        <f aca="true" t="shared" si="33" ref="F55:AC55">F16+F17-F38-F39</f>
        <v>0</v>
      </c>
      <c r="G55" s="57">
        <f t="shared" si="33"/>
        <v>0</v>
      </c>
      <c r="H55" s="57">
        <f t="shared" si="33"/>
        <v>0</v>
      </c>
      <c r="I55" s="57">
        <f t="shared" si="33"/>
        <v>0</v>
      </c>
      <c r="J55" s="57">
        <f t="shared" si="33"/>
        <v>0</v>
      </c>
      <c r="K55" s="57">
        <f t="shared" si="33"/>
        <v>0</v>
      </c>
      <c r="L55" s="57">
        <f t="shared" si="33"/>
        <v>0</v>
      </c>
      <c r="M55" s="57">
        <f t="shared" si="33"/>
        <v>0</v>
      </c>
      <c r="N55" s="57">
        <f t="shared" si="33"/>
        <v>0</v>
      </c>
      <c r="O55" s="57">
        <f t="shared" si="33"/>
        <v>0</v>
      </c>
      <c r="P55" s="57">
        <f t="shared" si="33"/>
        <v>0</v>
      </c>
      <c r="Q55" s="57">
        <f t="shared" si="33"/>
        <v>0</v>
      </c>
      <c r="R55" s="57">
        <f t="shared" si="33"/>
        <v>0</v>
      </c>
      <c r="S55" s="57">
        <f t="shared" si="33"/>
        <v>0</v>
      </c>
      <c r="T55" s="57">
        <f t="shared" si="33"/>
        <v>0</v>
      </c>
      <c r="U55" s="57">
        <f t="shared" si="33"/>
        <v>0</v>
      </c>
      <c r="V55" s="57">
        <f t="shared" si="33"/>
        <v>0</v>
      </c>
      <c r="W55" s="57">
        <f t="shared" si="33"/>
        <v>0</v>
      </c>
      <c r="X55" s="57">
        <f t="shared" si="33"/>
        <v>0</v>
      </c>
      <c r="Y55" s="57">
        <f t="shared" si="33"/>
        <v>0</v>
      </c>
      <c r="Z55" s="57">
        <f t="shared" si="33"/>
        <v>0</v>
      </c>
      <c r="AA55" s="57">
        <f t="shared" si="33"/>
        <v>0</v>
      </c>
      <c r="AB55" s="57">
        <f t="shared" si="33"/>
        <v>0</v>
      </c>
      <c r="AC55" s="549">
        <f t="shared" si="33"/>
        <v>0</v>
      </c>
    </row>
    <row r="56" spans="1:29" ht="12">
      <c r="A56" s="66"/>
      <c r="B56" s="816"/>
      <c r="C56" s="802" t="str">
        <f>C49</f>
        <v>Přínos přímé zaměstnanosti</v>
      </c>
      <c r="D56" s="823"/>
      <c r="E56" s="804">
        <f aca="true" t="shared" si="34" ref="E56:AC56">E18</f>
        <v>0</v>
      </c>
      <c r="F56" s="804">
        <f t="shared" si="34"/>
        <v>0</v>
      </c>
      <c r="G56" s="804">
        <f t="shared" si="34"/>
        <v>0</v>
      </c>
      <c r="H56" s="804">
        <f t="shared" si="34"/>
        <v>0</v>
      </c>
      <c r="I56" s="804">
        <f t="shared" si="34"/>
        <v>0</v>
      </c>
      <c r="J56" s="804">
        <f t="shared" si="34"/>
        <v>0</v>
      </c>
      <c r="K56" s="804">
        <f t="shared" si="34"/>
        <v>0</v>
      </c>
      <c r="L56" s="804">
        <f t="shared" si="34"/>
        <v>0</v>
      </c>
      <c r="M56" s="804">
        <f t="shared" si="34"/>
        <v>0</v>
      </c>
      <c r="N56" s="804">
        <f t="shared" si="34"/>
        <v>0</v>
      </c>
      <c r="O56" s="804">
        <f t="shared" si="34"/>
        <v>0</v>
      </c>
      <c r="P56" s="804">
        <f t="shared" si="34"/>
        <v>0</v>
      </c>
      <c r="Q56" s="804">
        <f t="shared" si="34"/>
        <v>0</v>
      </c>
      <c r="R56" s="804">
        <f t="shared" si="34"/>
        <v>0</v>
      </c>
      <c r="S56" s="804">
        <f t="shared" si="34"/>
        <v>0</v>
      </c>
      <c r="T56" s="804">
        <f t="shared" si="34"/>
        <v>0</v>
      </c>
      <c r="U56" s="804">
        <f t="shared" si="34"/>
        <v>0</v>
      </c>
      <c r="V56" s="804">
        <f t="shared" si="34"/>
        <v>0</v>
      </c>
      <c r="W56" s="804">
        <f t="shared" si="34"/>
        <v>0</v>
      </c>
      <c r="X56" s="804">
        <f t="shared" si="34"/>
        <v>0</v>
      </c>
      <c r="Y56" s="804">
        <f t="shared" si="34"/>
        <v>0</v>
      </c>
      <c r="Z56" s="804">
        <f t="shared" si="34"/>
        <v>0</v>
      </c>
      <c r="AA56" s="804">
        <f t="shared" si="34"/>
        <v>0</v>
      </c>
      <c r="AB56" s="804">
        <f t="shared" si="34"/>
        <v>0</v>
      </c>
      <c r="AC56" s="817">
        <f t="shared" si="34"/>
        <v>0</v>
      </c>
    </row>
    <row r="57" spans="1:29" ht="12">
      <c r="A57" s="66"/>
      <c r="B57" s="818"/>
      <c r="C57" s="581" t="str">
        <f>C50</f>
        <v>Přidaná hodnota výroby plavidel</v>
      </c>
      <c r="D57" s="582"/>
      <c r="E57" s="404">
        <f aca="true" t="shared" si="35" ref="E57:AC57">E21-E42</f>
        <v>0</v>
      </c>
      <c r="F57" s="404">
        <f t="shared" si="35"/>
        <v>0</v>
      </c>
      <c r="G57" s="404">
        <f t="shared" si="35"/>
        <v>0</v>
      </c>
      <c r="H57" s="404">
        <f t="shared" si="35"/>
        <v>0</v>
      </c>
      <c r="I57" s="404">
        <f t="shared" si="35"/>
        <v>0</v>
      </c>
      <c r="J57" s="404">
        <f t="shared" si="35"/>
        <v>0</v>
      </c>
      <c r="K57" s="404">
        <f t="shared" si="35"/>
        <v>0</v>
      </c>
      <c r="L57" s="404">
        <f t="shared" si="35"/>
        <v>0</v>
      </c>
      <c r="M57" s="404">
        <f t="shared" si="35"/>
        <v>0</v>
      </c>
      <c r="N57" s="404">
        <f t="shared" si="35"/>
        <v>0</v>
      </c>
      <c r="O57" s="404">
        <f t="shared" si="35"/>
        <v>0</v>
      </c>
      <c r="P57" s="404">
        <f t="shared" si="35"/>
        <v>0</v>
      </c>
      <c r="Q57" s="404">
        <f t="shared" si="35"/>
        <v>0</v>
      </c>
      <c r="R57" s="404">
        <f t="shared" si="35"/>
        <v>0</v>
      </c>
      <c r="S57" s="404">
        <f t="shared" si="35"/>
        <v>0</v>
      </c>
      <c r="T57" s="404">
        <f t="shared" si="35"/>
        <v>0</v>
      </c>
      <c r="U57" s="404">
        <f t="shared" si="35"/>
        <v>0</v>
      </c>
      <c r="V57" s="404">
        <f t="shared" si="35"/>
        <v>0</v>
      </c>
      <c r="W57" s="404">
        <f t="shared" si="35"/>
        <v>0</v>
      </c>
      <c r="X57" s="404">
        <f t="shared" si="35"/>
        <v>0</v>
      </c>
      <c r="Y57" s="404">
        <f t="shared" si="35"/>
        <v>0</v>
      </c>
      <c r="Z57" s="404">
        <f t="shared" si="35"/>
        <v>0</v>
      </c>
      <c r="AA57" s="404">
        <f t="shared" si="35"/>
        <v>0</v>
      </c>
      <c r="AB57" s="404">
        <f t="shared" si="35"/>
        <v>0</v>
      </c>
      <c r="AC57" s="408">
        <f t="shared" si="35"/>
        <v>0</v>
      </c>
    </row>
    <row r="58" spans="1:29" ht="12.75" thickBot="1">
      <c r="A58" s="56"/>
      <c r="B58" s="574"/>
      <c r="C58" s="583" t="str">
        <f>C11</f>
        <v>Celkem</v>
      </c>
      <c r="D58" s="584"/>
      <c r="E58" s="428">
        <f aca="true" t="shared" si="36" ref="E58:AC58">E22-E43</f>
        <v>0</v>
      </c>
      <c r="F58" s="428">
        <f t="shared" si="36"/>
        <v>0</v>
      </c>
      <c r="G58" s="428">
        <f t="shared" si="36"/>
        <v>0</v>
      </c>
      <c r="H58" s="428">
        <f t="shared" si="36"/>
        <v>0</v>
      </c>
      <c r="I58" s="428">
        <f t="shared" si="36"/>
        <v>0</v>
      </c>
      <c r="J58" s="428">
        <f t="shared" si="36"/>
        <v>0</v>
      </c>
      <c r="K58" s="428">
        <f t="shared" si="36"/>
        <v>0</v>
      </c>
      <c r="L58" s="428">
        <f t="shared" si="36"/>
        <v>0</v>
      </c>
      <c r="M58" s="428">
        <f t="shared" si="36"/>
        <v>0</v>
      </c>
      <c r="N58" s="428">
        <f t="shared" si="36"/>
        <v>0</v>
      </c>
      <c r="O58" s="428">
        <f t="shared" si="36"/>
        <v>0</v>
      </c>
      <c r="P58" s="428">
        <f t="shared" si="36"/>
        <v>0</v>
      </c>
      <c r="Q58" s="428">
        <f t="shared" si="36"/>
        <v>0</v>
      </c>
      <c r="R58" s="428">
        <f t="shared" si="36"/>
        <v>0</v>
      </c>
      <c r="S58" s="428">
        <f t="shared" si="36"/>
        <v>0</v>
      </c>
      <c r="T58" s="428">
        <f t="shared" si="36"/>
        <v>0</v>
      </c>
      <c r="U58" s="428">
        <f t="shared" si="36"/>
        <v>0</v>
      </c>
      <c r="V58" s="428">
        <f t="shared" si="36"/>
        <v>0</v>
      </c>
      <c r="W58" s="428">
        <f t="shared" si="36"/>
        <v>0</v>
      </c>
      <c r="X58" s="428">
        <f t="shared" si="36"/>
        <v>0</v>
      </c>
      <c r="Y58" s="428">
        <f t="shared" si="36"/>
        <v>0</v>
      </c>
      <c r="Z58" s="428">
        <f t="shared" si="36"/>
        <v>0</v>
      </c>
      <c r="AA58" s="428">
        <f t="shared" si="36"/>
        <v>0</v>
      </c>
      <c r="AB58" s="428">
        <f t="shared" si="36"/>
        <v>0</v>
      </c>
      <c r="AC58" s="429">
        <f t="shared" si="36"/>
        <v>0</v>
      </c>
    </row>
    <row r="59" spans="2:18" ht="11.25">
      <c r="B59" s="96"/>
      <c r="C59" s="96"/>
      <c r="D59" s="96"/>
      <c r="E59" s="96"/>
      <c r="F59" s="103"/>
      <c r="G59" s="104"/>
      <c r="H59" s="96"/>
      <c r="I59" s="96"/>
      <c r="J59" s="96"/>
      <c r="K59" s="96"/>
      <c r="L59" s="96"/>
      <c r="M59" s="96"/>
      <c r="N59" s="96"/>
      <c r="O59" s="96"/>
      <c r="P59" s="96"/>
      <c r="Q59" s="96"/>
      <c r="R59" s="96"/>
    </row>
    <row r="60" spans="9:14" ht="12" thickBot="1">
      <c r="I60" s="97"/>
      <c r="L60" s="97"/>
      <c r="N60" s="97"/>
    </row>
    <row r="61" spans="2:9" ht="12.75">
      <c r="B61" s="383" t="s">
        <v>343</v>
      </c>
      <c r="C61" s="813"/>
      <c r="D61" s="807">
        <v>2006</v>
      </c>
      <c r="E61" s="807">
        <v>2007</v>
      </c>
      <c r="F61" s="807">
        <v>2008</v>
      </c>
      <c r="G61" s="807">
        <v>2009</v>
      </c>
      <c r="H61" s="808">
        <v>2010</v>
      </c>
      <c r="I61" s="809" t="str">
        <f>IF('0 Úvod'!$M$3="English",Slovnik!D271,Slovnik!C271)</f>
        <v>Použití</v>
      </c>
    </row>
    <row r="62" spans="2:9" ht="13.5" thickBot="1">
      <c r="B62" s="384"/>
      <c r="C62" s="1197" t="str">
        <f>IF('0 Úvod'!$M$3="English",Slovnik!D263,Slovnik!C263)</f>
        <v>Produkce cestovního ruchu </v>
      </c>
      <c r="D62" s="812">
        <v>241595</v>
      </c>
      <c r="E62" s="812">
        <v>250407</v>
      </c>
      <c r="F62" s="812">
        <v>251543</v>
      </c>
      <c r="G62" s="812">
        <v>238257</v>
      </c>
      <c r="H62" s="812">
        <v>238634</v>
      </c>
      <c r="I62" s="1194">
        <v>1</v>
      </c>
    </row>
    <row r="63" spans="2:9" ht="12.75">
      <c r="B63" s="384"/>
      <c r="C63" s="981" t="str">
        <f>IF('0 Úvod'!$M$3="English",Slovnik!D264,Slovnik!C264)</f>
        <v>Mezispotřeba</v>
      </c>
      <c r="D63" s="811">
        <v>157101</v>
      </c>
      <c r="E63" s="811">
        <v>164173</v>
      </c>
      <c r="F63" s="811">
        <v>165116</v>
      </c>
      <c r="G63" s="811">
        <v>149815</v>
      </c>
      <c r="H63" s="811">
        <v>151272</v>
      </c>
      <c r="I63" s="1195">
        <f>AVERAGE(D63:H63)</f>
        <v>157495.4</v>
      </c>
    </row>
    <row r="64" spans="2:9" ht="13.5" thickBot="1">
      <c r="B64" s="384"/>
      <c r="C64" s="1161" t="str">
        <f>IF('0 Úvod'!$M$3="English",Slovnik!D265,Slovnik!C265)</f>
        <v>Hrubá přidaná hodnota celkem:</v>
      </c>
      <c r="D64" s="1162">
        <v>84494</v>
      </c>
      <c r="E64" s="1162">
        <v>86234</v>
      </c>
      <c r="F64" s="1162">
        <v>86427</v>
      </c>
      <c r="G64" s="1162">
        <v>88442</v>
      </c>
      <c r="H64" s="1162">
        <v>87362</v>
      </c>
      <c r="I64" s="1196">
        <f>AVERAGE(D64:H64)</f>
        <v>86591.8</v>
      </c>
    </row>
    <row r="65" spans="2:9" ht="12.75" thickBot="1">
      <c r="B65" s="814"/>
      <c r="C65" s="1010" t="str">
        <f>IF('0 Úvod'!$M$3="English",Slovnik!D266,Slovnik!C266)</f>
        <v>Přínos z celkových tržeb v oblasti</v>
      </c>
      <c r="D65" s="810">
        <f>D64/D62</f>
        <v>0.3497340590657919</v>
      </c>
      <c r="E65" s="810">
        <f>E64/E62</f>
        <v>0.34437535691893595</v>
      </c>
      <c r="F65" s="810">
        <f>F64/F62</f>
        <v>0.3435873786986718</v>
      </c>
      <c r="G65" s="810">
        <f>G64/G62</f>
        <v>0.37120420386389485</v>
      </c>
      <c r="H65" s="810">
        <f>H64/H62</f>
        <v>0.3660920070065456</v>
      </c>
      <c r="I65" s="1089">
        <f>AVERAGE(D65:H65)</f>
        <v>0.3549986011107681</v>
      </c>
    </row>
    <row r="66" spans="3:9" ht="12">
      <c r="C66" s="1454" t="str">
        <f>IF('0 Úvod'!$M$3="English",Slovnik!D272,Slovnik!C272)</f>
        <v>Zdroj: Český statistický úřad, 2012</v>
      </c>
      <c r="D66" s="1454"/>
      <c r="E66" s="1454"/>
      <c r="F66" s="1454"/>
      <c r="G66" s="1454"/>
      <c r="H66" s="1454"/>
      <c r="I66" s="1454"/>
    </row>
    <row r="67" spans="3:9" ht="12.75" thickBot="1">
      <c r="C67" s="899"/>
      <c r="D67" s="899"/>
      <c r="E67" s="899"/>
      <c r="F67" s="899"/>
      <c r="G67" s="899"/>
      <c r="H67" s="899"/>
      <c r="I67" s="899"/>
    </row>
    <row r="68" spans="2:11" ht="13.5" thickBot="1">
      <c r="B68" s="383" t="s">
        <v>344</v>
      </c>
      <c r="C68" s="1461" t="str">
        <f>IF('0 Úvod'!$M$3="English",Slovnik!D267,Slovnik!C267)</f>
        <v>Míra mezispotřeby na celkové produkci cestovního ruchu</v>
      </c>
      <c r="D68" s="807">
        <v>2006</v>
      </c>
      <c r="E68" s="807">
        <v>2007</v>
      </c>
      <c r="F68" s="807">
        <v>2008</v>
      </c>
      <c r="G68" s="807">
        <v>2009</v>
      </c>
      <c r="H68" s="808">
        <v>2010</v>
      </c>
      <c r="I68" s="809" t="str">
        <f>I61</f>
        <v>Použití</v>
      </c>
      <c r="K68" s="95" t="s">
        <v>626</v>
      </c>
    </row>
    <row r="69" spans="2:21" ht="13.5" thickBot="1">
      <c r="B69" s="384"/>
      <c r="C69" s="1462"/>
      <c r="D69" s="810">
        <f>D63/D62</f>
        <v>0.6502659409342081</v>
      </c>
      <c r="E69" s="810">
        <f>E63/E62</f>
        <v>0.655624643081064</v>
      </c>
      <c r="F69" s="810">
        <f>F63/F62</f>
        <v>0.6564126213013282</v>
      </c>
      <c r="G69" s="810">
        <f>G63/G62</f>
        <v>0.6287957961361051</v>
      </c>
      <c r="H69" s="810">
        <f>H63/H62</f>
        <v>0.6339079929934545</v>
      </c>
      <c r="I69" s="1191">
        <f>AVERAGE(D69:H69)</f>
        <v>0.6450013988892319</v>
      </c>
      <c r="K69" s="1483"/>
      <c r="L69" s="1484"/>
      <c r="M69" s="1225">
        <v>2003</v>
      </c>
      <c r="N69" s="1225">
        <v>2004</v>
      </c>
      <c r="O69" s="1225">
        <v>2005</v>
      </c>
      <c r="P69" s="1225">
        <v>2006</v>
      </c>
      <c r="Q69" s="1226">
        <v>2007</v>
      </c>
      <c r="R69" s="1225">
        <v>2008</v>
      </c>
      <c r="S69" s="1225">
        <v>2009</v>
      </c>
      <c r="T69" s="1225">
        <v>2010</v>
      </c>
      <c r="U69" s="1227" t="s">
        <v>622</v>
      </c>
    </row>
    <row r="70" spans="2:21" ht="13.5" thickBot="1">
      <c r="B70" s="384"/>
      <c r="C70" s="1455" t="str">
        <f>IF('0 Úvod'!$M$3="English",Slovnik!D268,Slovnik!C268)</f>
        <v>Reklama, pojištění - obory finančních a marketingových služeb</v>
      </c>
      <c r="D70" s="1456"/>
      <c r="E70" s="1456"/>
      <c r="F70" s="1456"/>
      <c r="G70" s="1456"/>
      <c r="H70" s="1457"/>
      <c r="I70" s="1192"/>
      <c r="K70" s="1485" t="s">
        <v>623</v>
      </c>
      <c r="L70" s="1486"/>
      <c r="M70" s="1230">
        <v>4032970</v>
      </c>
      <c r="N70" s="1231">
        <v>4517567</v>
      </c>
      <c r="O70" s="1231">
        <v>4763005</v>
      </c>
      <c r="P70" s="1231">
        <v>5412466</v>
      </c>
      <c r="Q70" s="1231">
        <v>6056936</v>
      </c>
      <c r="R70" s="1231">
        <v>6352285</v>
      </c>
      <c r="S70" s="1231">
        <v>5524956</v>
      </c>
      <c r="T70" s="1231">
        <v>5901646.000000004</v>
      </c>
      <c r="U70" s="1232">
        <f>AVERAGE(M70:T70)</f>
        <v>5320228.875</v>
      </c>
    </row>
    <row r="71" spans="2:21" ht="13.5" thickBot="1">
      <c r="B71" s="384"/>
      <c r="C71" s="1458" t="str">
        <f>IF('0 Úvod'!$M$3="English",Slovnik!D269,Slovnik!C269)</f>
        <v>Zábava, oprava a údržba lodí – obor služeb</v>
      </c>
      <c r="D71" s="1459"/>
      <c r="E71" s="1459"/>
      <c r="F71" s="1459"/>
      <c r="G71" s="1459"/>
      <c r="H71" s="1460"/>
      <c r="I71" s="1193"/>
      <c r="K71" s="1479" t="s">
        <v>624</v>
      </c>
      <c r="L71" s="1480"/>
      <c r="M71" s="1231">
        <v>1122890.7130075812</v>
      </c>
      <c r="N71" s="1231">
        <v>1253720.3345117143</v>
      </c>
      <c r="O71" s="1231">
        <v>1348325.9909892916</v>
      </c>
      <c r="P71" s="1231">
        <v>1512694.846916849</v>
      </c>
      <c r="Q71" s="1231">
        <v>1690469.861049789</v>
      </c>
      <c r="R71" s="1231">
        <v>1763746.1795818186</v>
      </c>
      <c r="S71" s="1231">
        <v>1574256.0676527715</v>
      </c>
      <c r="T71" s="1231">
        <v>1681617.2689629942</v>
      </c>
      <c r="U71" s="1232">
        <f>AVERAGE(M71:T71)</f>
        <v>1493465.1578341012</v>
      </c>
    </row>
    <row r="72" spans="2:21" ht="13.5" customHeight="1" thickBot="1">
      <c r="B72" s="814"/>
      <c r="C72" s="1463" t="str">
        <f>IF('0 Úvod'!$M$3="English",Slovnik!D270,Slovnik!C270)</f>
        <v>Multiplikační efekt mezispotřeby</v>
      </c>
      <c r="D72" s="1464"/>
      <c r="E72" s="1464"/>
      <c r="F72" s="1464"/>
      <c r="G72" s="1464"/>
      <c r="H72" s="1465"/>
      <c r="I72" s="1089">
        <f>U72*I69</f>
        <v>0.18101506429383815</v>
      </c>
      <c r="K72" s="1481" t="s">
        <v>625</v>
      </c>
      <c r="L72" s="1482"/>
      <c r="M72" s="1228">
        <f>M71/M70</f>
        <v>0.27842773762452516</v>
      </c>
      <c r="N72" s="1228">
        <f>N71/N70</f>
        <v>0.2775211379292691</v>
      </c>
      <c r="O72" s="1228">
        <f aca="true" t="shared" si="37" ref="O72:T72">O71/O70</f>
        <v>0.28308305176864007</v>
      </c>
      <c r="P72" s="1228">
        <f t="shared" si="37"/>
        <v>0.27948348255986255</v>
      </c>
      <c r="Q72" s="1228">
        <f t="shared" si="37"/>
        <v>0.27909653677202284</v>
      </c>
      <c r="R72" s="1228">
        <f t="shared" si="37"/>
        <v>0.27765539165541514</v>
      </c>
      <c r="S72" s="1228">
        <f t="shared" si="37"/>
        <v>0.2849354940840744</v>
      </c>
      <c r="T72" s="1228">
        <f t="shared" si="37"/>
        <v>0.2849403825581868</v>
      </c>
      <c r="U72" s="1229">
        <f>AVERAGE(M72:T72)</f>
        <v>0.28064290186899954</v>
      </c>
    </row>
    <row r="73" spans="3:20" ht="12">
      <c r="C73" s="1454" t="str">
        <f>IF('0 Úvod'!$M$3="English",Slovnik!D273,Slovnik!C273)</f>
        <v>Zdroj: Centrální komise pro plavbu na Rýně, sektor říční dopravy, 2012</v>
      </c>
      <c r="D73" s="1454"/>
      <c r="E73" s="1454"/>
      <c r="F73" s="1454"/>
      <c r="G73" s="1454"/>
      <c r="H73" s="1454"/>
      <c r="I73" s="1454"/>
      <c r="T73" s="95" t="s">
        <v>627</v>
      </c>
    </row>
    <row r="74" ht="12.75" thickBot="1">
      <c r="B74" s="69"/>
    </row>
    <row r="75" spans="2:16" ht="11.25">
      <c r="B75" s="1355" t="str">
        <f>IF('0 Úvod'!$M$3="English",Slovnik!D274,Slovnik!C274)</f>
        <v>Komentáře</v>
      </c>
      <c r="C75" s="1356"/>
      <c r="D75" s="1356"/>
      <c r="E75" s="1356"/>
      <c r="F75" s="1356"/>
      <c r="G75" s="1356"/>
      <c r="H75" s="1356"/>
      <c r="I75" s="1356"/>
      <c r="J75" s="1356"/>
      <c r="K75" s="1356"/>
      <c r="L75" s="1356"/>
      <c r="M75" s="1356"/>
      <c r="N75" s="1356"/>
      <c r="O75" s="1356"/>
      <c r="P75" s="1357"/>
    </row>
    <row r="76" spans="2:16" ht="12" thickBot="1">
      <c r="B76" s="1358"/>
      <c r="C76" s="1359"/>
      <c r="D76" s="1359"/>
      <c r="E76" s="1359"/>
      <c r="F76" s="1359"/>
      <c r="G76" s="1359"/>
      <c r="H76" s="1359"/>
      <c r="I76" s="1359"/>
      <c r="J76" s="1359"/>
      <c r="K76" s="1359"/>
      <c r="L76" s="1359"/>
      <c r="M76" s="1359"/>
      <c r="N76" s="1359"/>
      <c r="O76" s="1359"/>
      <c r="P76" s="1360"/>
    </row>
    <row r="77" spans="2:16" ht="12.75" customHeight="1">
      <c r="B77" s="1445" t="s">
        <v>628</v>
      </c>
      <c r="C77" s="1446"/>
      <c r="D77" s="1446"/>
      <c r="E77" s="1446"/>
      <c r="F77" s="1446"/>
      <c r="G77" s="1446"/>
      <c r="H77" s="1446"/>
      <c r="I77" s="1446"/>
      <c r="J77" s="1446"/>
      <c r="K77" s="1446"/>
      <c r="L77" s="1446"/>
      <c r="M77" s="1446"/>
      <c r="N77" s="1446"/>
      <c r="O77" s="1446"/>
      <c r="P77" s="1447"/>
    </row>
    <row r="78" spans="2:16" ht="12.75" customHeight="1">
      <c r="B78" s="1448"/>
      <c r="C78" s="1449"/>
      <c r="D78" s="1449"/>
      <c r="E78" s="1449"/>
      <c r="F78" s="1449"/>
      <c r="G78" s="1449"/>
      <c r="H78" s="1449"/>
      <c r="I78" s="1449"/>
      <c r="J78" s="1449"/>
      <c r="K78" s="1449"/>
      <c r="L78" s="1449"/>
      <c r="M78" s="1449"/>
      <c r="N78" s="1449"/>
      <c r="O78" s="1449"/>
      <c r="P78" s="1450"/>
    </row>
    <row r="79" spans="2:16" ht="12.75" customHeight="1" thickBot="1">
      <c r="B79" s="1451"/>
      <c r="C79" s="1452"/>
      <c r="D79" s="1452"/>
      <c r="E79" s="1452"/>
      <c r="F79" s="1452"/>
      <c r="G79" s="1452"/>
      <c r="H79" s="1452"/>
      <c r="I79" s="1452"/>
      <c r="J79" s="1452"/>
      <c r="K79" s="1452"/>
      <c r="L79" s="1452"/>
      <c r="M79" s="1452"/>
      <c r="N79" s="1452"/>
      <c r="O79" s="1452"/>
      <c r="P79" s="1453"/>
    </row>
    <row r="80" ht="11.25"/>
    <row r="81" s="1108" customFormat="1" ht="12" thickBot="1"/>
    <row r="82" spans="2:29" s="1109" customFormat="1" ht="12.75">
      <c r="B82" s="450" t="s">
        <v>284</v>
      </c>
      <c r="C82" s="456" t="str">
        <f>IF('0 Úvod'!$M$3="English",Slovnik!D275,Slovnik!C275)</f>
        <v>Přínosy přímé zaměstnanosti</v>
      </c>
      <c r="D82" s="806"/>
      <c r="E82" s="1351">
        <f>'0 Úvod'!G18</f>
        <v>2014</v>
      </c>
      <c r="F82" s="1351">
        <f aca="true" t="shared" si="38" ref="F82:AC82">E82+1</f>
        <v>2015</v>
      </c>
      <c r="G82" s="1351">
        <f t="shared" si="38"/>
        <v>2016</v>
      </c>
      <c r="H82" s="1351">
        <f t="shared" si="38"/>
        <v>2017</v>
      </c>
      <c r="I82" s="1351">
        <f t="shared" si="38"/>
        <v>2018</v>
      </c>
      <c r="J82" s="1351">
        <f t="shared" si="38"/>
        <v>2019</v>
      </c>
      <c r="K82" s="1351">
        <f t="shared" si="38"/>
        <v>2020</v>
      </c>
      <c r="L82" s="1351">
        <f t="shared" si="38"/>
        <v>2021</v>
      </c>
      <c r="M82" s="1351">
        <f t="shared" si="38"/>
        <v>2022</v>
      </c>
      <c r="N82" s="1351">
        <f t="shared" si="38"/>
        <v>2023</v>
      </c>
      <c r="O82" s="1351">
        <f t="shared" si="38"/>
        <v>2024</v>
      </c>
      <c r="P82" s="1351">
        <f t="shared" si="38"/>
        <v>2025</v>
      </c>
      <c r="Q82" s="1351">
        <f t="shared" si="38"/>
        <v>2026</v>
      </c>
      <c r="R82" s="1351">
        <f t="shared" si="38"/>
        <v>2027</v>
      </c>
      <c r="S82" s="1351">
        <f t="shared" si="38"/>
        <v>2028</v>
      </c>
      <c r="T82" s="1351">
        <f t="shared" si="38"/>
        <v>2029</v>
      </c>
      <c r="U82" s="1351">
        <f t="shared" si="38"/>
        <v>2030</v>
      </c>
      <c r="V82" s="1351">
        <f t="shared" si="38"/>
        <v>2031</v>
      </c>
      <c r="W82" s="1351">
        <f t="shared" si="38"/>
        <v>2032</v>
      </c>
      <c r="X82" s="1351">
        <f t="shared" si="38"/>
        <v>2033</v>
      </c>
      <c r="Y82" s="1351">
        <f t="shared" si="38"/>
        <v>2034</v>
      </c>
      <c r="Z82" s="1351">
        <f t="shared" si="38"/>
        <v>2035</v>
      </c>
      <c r="AA82" s="1351">
        <f t="shared" si="38"/>
        <v>2036</v>
      </c>
      <c r="AB82" s="1351">
        <f t="shared" si="38"/>
        <v>2037</v>
      </c>
      <c r="AC82" s="1353">
        <f t="shared" si="38"/>
        <v>2038</v>
      </c>
    </row>
    <row r="83" spans="2:29" s="1109" customFormat="1" ht="13.5" thickBot="1">
      <c r="B83" s="1110" t="s">
        <v>17</v>
      </c>
      <c r="C83" s="1111"/>
      <c r="D83" s="455" t="str">
        <f>D3</f>
        <v>Celkem</v>
      </c>
      <c r="E83" s="1352"/>
      <c r="F83" s="1352"/>
      <c r="G83" s="1352"/>
      <c r="H83" s="1352"/>
      <c r="I83" s="1352"/>
      <c r="J83" s="1352"/>
      <c r="K83" s="1352"/>
      <c r="L83" s="1352"/>
      <c r="M83" s="1352"/>
      <c r="N83" s="1352"/>
      <c r="O83" s="1352"/>
      <c r="P83" s="1352"/>
      <c r="Q83" s="1352"/>
      <c r="R83" s="1352"/>
      <c r="S83" s="1352"/>
      <c r="T83" s="1352"/>
      <c r="U83" s="1352"/>
      <c r="V83" s="1352"/>
      <c r="W83" s="1352"/>
      <c r="X83" s="1352"/>
      <c r="Y83" s="1352"/>
      <c r="Z83" s="1352"/>
      <c r="AA83" s="1352"/>
      <c r="AB83" s="1352"/>
      <c r="AC83" s="1354"/>
    </row>
    <row r="84" spans="2:29" s="1109" customFormat="1" ht="12.75">
      <c r="B84" s="1112"/>
      <c r="C84" s="1113" t="str">
        <f>IF('0 Úvod'!$M$3="English",Slovnik!D276,Slovnik!C276)</f>
        <v>Počet nových zaměstnanců</v>
      </c>
      <c r="D84" s="418">
        <f>SUM(E84:AC84,E93:AC93)</f>
        <v>0</v>
      </c>
      <c r="E84" s="1114"/>
      <c r="F84" s="1114"/>
      <c r="G84" s="1114"/>
      <c r="H84" s="1114"/>
      <c r="I84" s="1114"/>
      <c r="J84" s="1114"/>
      <c r="K84" s="1114"/>
      <c r="L84" s="1114"/>
      <c r="M84" s="1114"/>
      <c r="N84" s="1114"/>
      <c r="O84" s="1114"/>
      <c r="P84" s="1114"/>
      <c r="Q84" s="1114"/>
      <c r="R84" s="1114"/>
      <c r="S84" s="1114"/>
      <c r="T84" s="1114"/>
      <c r="U84" s="1114"/>
      <c r="V84" s="1114"/>
      <c r="W84" s="1114"/>
      <c r="X84" s="1114"/>
      <c r="Y84" s="1114"/>
      <c r="Z84" s="1114"/>
      <c r="AA84" s="1114"/>
      <c r="AB84" s="1114"/>
      <c r="AC84" s="1114"/>
    </row>
    <row r="85" spans="2:29" s="1109" customFormat="1" ht="12.75">
      <c r="B85" s="1112"/>
      <c r="C85" s="1113" t="str">
        <f>IF('0 Úvod'!$M$3="English",Slovnik!D277,Slovnik!C277)</f>
        <v>Průměrná mzda nových zaměstnanců</v>
      </c>
      <c r="D85" s="1233"/>
      <c r="E85" s="1114"/>
      <c r="F85" s="1114"/>
      <c r="G85" s="1114"/>
      <c r="H85" s="1114"/>
      <c r="I85" s="1114"/>
      <c r="J85" s="1114"/>
      <c r="K85" s="1114"/>
      <c r="L85" s="1114"/>
      <c r="M85" s="1114"/>
      <c r="N85" s="1114"/>
      <c r="O85" s="1114"/>
      <c r="P85" s="1114"/>
      <c r="Q85" s="1114"/>
      <c r="R85" s="1114"/>
      <c r="S85" s="1114"/>
      <c r="T85" s="1114"/>
      <c r="U85" s="1114"/>
      <c r="V85" s="1114"/>
      <c r="W85" s="1114"/>
      <c r="X85" s="1114"/>
      <c r="Y85" s="1114"/>
      <c r="Z85" s="1114"/>
      <c r="AA85" s="1114"/>
      <c r="AB85" s="1114"/>
      <c r="AC85" s="1114"/>
    </row>
    <row r="86" spans="1:29" s="1109" customFormat="1" ht="12.75">
      <c r="A86" s="1141"/>
      <c r="B86" s="1130"/>
      <c r="C86" s="1124" t="str">
        <f>IF('0 Úvod'!$M$3="English",Slovnik!D278,Slovnik!C278)</f>
        <v>Průměrná statistická mzda</v>
      </c>
      <c r="D86" s="1125"/>
      <c r="E86" s="1126"/>
      <c r="F86" s="1126"/>
      <c r="G86" s="1126"/>
      <c r="H86" s="1126"/>
      <c r="I86" s="1126"/>
      <c r="J86" s="1126"/>
      <c r="K86" s="1126"/>
      <c r="L86" s="1126"/>
      <c r="M86" s="1126"/>
      <c r="N86" s="1126"/>
      <c r="O86" s="1126"/>
      <c r="P86" s="1126"/>
      <c r="Q86" s="1126"/>
      <c r="R86" s="1126"/>
      <c r="S86" s="1126"/>
      <c r="T86" s="1126"/>
      <c r="U86" s="1126"/>
      <c r="V86" s="1126"/>
      <c r="W86" s="1126"/>
      <c r="X86" s="1126"/>
      <c r="Y86" s="1126"/>
      <c r="Z86" s="1126"/>
      <c r="AA86" s="1126"/>
      <c r="AB86" s="1126"/>
      <c r="AC86" s="1137"/>
    </row>
    <row r="87" spans="1:29" s="1109" customFormat="1" ht="12.75">
      <c r="A87" s="1141"/>
      <c r="B87" s="1133"/>
      <c r="C87" s="1127" t="str">
        <f>IF('0 Úvod'!$M$3="English",Slovnik!D279,Slovnik!C279)</f>
        <v>Stínová mzda</v>
      </c>
      <c r="D87" s="1128"/>
      <c r="E87" s="1129">
        <f>$D$86/(1+E88)</f>
        <v>0</v>
      </c>
      <c r="F87" s="1129">
        <f>F85/(1+F88)</f>
        <v>0</v>
      </c>
      <c r="G87" s="1129">
        <f aca="true" t="shared" si="39" ref="G87:AC87">G85/(1+G88)</f>
        <v>0</v>
      </c>
      <c r="H87" s="1129">
        <f t="shared" si="39"/>
        <v>0</v>
      </c>
      <c r="I87" s="1129">
        <f t="shared" si="39"/>
        <v>0</v>
      </c>
      <c r="J87" s="1129">
        <f t="shared" si="39"/>
        <v>0</v>
      </c>
      <c r="K87" s="1129">
        <f t="shared" si="39"/>
        <v>0</v>
      </c>
      <c r="L87" s="1129">
        <f t="shared" si="39"/>
        <v>0</v>
      </c>
      <c r="M87" s="1129">
        <f t="shared" si="39"/>
        <v>0</v>
      </c>
      <c r="N87" s="1129">
        <f t="shared" si="39"/>
        <v>0</v>
      </c>
      <c r="O87" s="1129">
        <f t="shared" si="39"/>
        <v>0</v>
      </c>
      <c r="P87" s="1129">
        <f t="shared" si="39"/>
        <v>0</v>
      </c>
      <c r="Q87" s="1129">
        <f t="shared" si="39"/>
        <v>0</v>
      </c>
      <c r="R87" s="1129">
        <f t="shared" si="39"/>
        <v>0</v>
      </c>
      <c r="S87" s="1129">
        <f t="shared" si="39"/>
        <v>0</v>
      </c>
      <c r="T87" s="1129">
        <f t="shared" si="39"/>
        <v>0</v>
      </c>
      <c r="U87" s="1129">
        <f t="shared" si="39"/>
        <v>0</v>
      </c>
      <c r="V87" s="1129">
        <f t="shared" si="39"/>
        <v>0</v>
      </c>
      <c r="W87" s="1129">
        <f t="shared" si="39"/>
        <v>0</v>
      </c>
      <c r="X87" s="1129">
        <f t="shared" si="39"/>
        <v>0</v>
      </c>
      <c r="Y87" s="1129">
        <f t="shared" si="39"/>
        <v>0</v>
      </c>
      <c r="Z87" s="1129">
        <f t="shared" si="39"/>
        <v>0</v>
      </c>
      <c r="AA87" s="1129">
        <f t="shared" si="39"/>
        <v>0</v>
      </c>
      <c r="AB87" s="1129">
        <f t="shared" si="39"/>
        <v>0</v>
      </c>
      <c r="AC87" s="1129">
        <f t="shared" si="39"/>
        <v>0</v>
      </c>
    </row>
    <row r="88" spans="2:29" s="1109" customFormat="1" ht="12.75">
      <c r="B88" s="1112"/>
      <c r="C88" s="1115" t="str">
        <f>IF('0 Úvod'!$M$3="English",Slovnik!D280,Slovnik!C280)</f>
        <v>Míra nezaměstnanosti</v>
      </c>
      <c r="D88" s="1107" t="s">
        <v>596</v>
      </c>
      <c r="E88" s="1116"/>
      <c r="F88" s="1116"/>
      <c r="G88" s="1116"/>
      <c r="H88" s="1116"/>
      <c r="I88" s="1116"/>
      <c r="J88" s="1116"/>
      <c r="K88" s="1116"/>
      <c r="L88" s="1116"/>
      <c r="M88" s="1116"/>
      <c r="N88" s="1116"/>
      <c r="O88" s="1116"/>
      <c r="P88" s="1116"/>
      <c r="Q88" s="1116"/>
      <c r="R88" s="1116"/>
      <c r="S88" s="1116"/>
      <c r="T88" s="1116"/>
      <c r="U88" s="1116"/>
      <c r="V88" s="1116"/>
      <c r="W88" s="1116"/>
      <c r="X88" s="1116"/>
      <c r="Y88" s="1116"/>
      <c r="Z88" s="1116"/>
      <c r="AA88" s="1116"/>
      <c r="AB88" s="1116"/>
      <c r="AC88" s="1138"/>
    </row>
    <row r="89" spans="2:29" s="1109" customFormat="1" ht="13.5" thickBot="1">
      <c r="B89" s="805"/>
      <c r="C89" s="745" t="str">
        <f>C82</f>
        <v>Přínosy přímé zaměstnanosti</v>
      </c>
      <c r="D89" s="427">
        <f>SUM(E89:AC89,E98:AC98)</f>
        <v>0</v>
      </c>
      <c r="E89" s="1117">
        <f>E84*(E85-E87)*12</f>
        <v>0</v>
      </c>
      <c r="F89" s="1117">
        <f aca="true" t="shared" si="40" ref="F89:AC89">F84*(F85-F87)*12</f>
        <v>0</v>
      </c>
      <c r="G89" s="1117">
        <f t="shared" si="40"/>
        <v>0</v>
      </c>
      <c r="H89" s="1117">
        <f t="shared" si="40"/>
        <v>0</v>
      </c>
      <c r="I89" s="1117">
        <f t="shared" si="40"/>
        <v>0</v>
      </c>
      <c r="J89" s="1117">
        <f t="shared" si="40"/>
        <v>0</v>
      </c>
      <c r="K89" s="1117">
        <f t="shared" si="40"/>
        <v>0</v>
      </c>
      <c r="L89" s="1117">
        <f t="shared" si="40"/>
        <v>0</v>
      </c>
      <c r="M89" s="1117">
        <f t="shared" si="40"/>
        <v>0</v>
      </c>
      <c r="N89" s="1117">
        <f t="shared" si="40"/>
        <v>0</v>
      </c>
      <c r="O89" s="1117">
        <f t="shared" si="40"/>
        <v>0</v>
      </c>
      <c r="P89" s="1117">
        <f t="shared" si="40"/>
        <v>0</v>
      </c>
      <c r="Q89" s="1117">
        <f t="shared" si="40"/>
        <v>0</v>
      </c>
      <c r="R89" s="1117">
        <f t="shared" si="40"/>
        <v>0</v>
      </c>
      <c r="S89" s="1117">
        <f t="shared" si="40"/>
        <v>0</v>
      </c>
      <c r="T89" s="1117">
        <f t="shared" si="40"/>
        <v>0</v>
      </c>
      <c r="U89" s="1117">
        <f t="shared" si="40"/>
        <v>0</v>
      </c>
      <c r="V89" s="1117">
        <f t="shared" si="40"/>
        <v>0</v>
      </c>
      <c r="W89" s="1117">
        <f t="shared" si="40"/>
        <v>0</v>
      </c>
      <c r="X89" s="1117">
        <f t="shared" si="40"/>
        <v>0</v>
      </c>
      <c r="Y89" s="1117">
        <f t="shared" si="40"/>
        <v>0</v>
      </c>
      <c r="Z89" s="1117">
        <f t="shared" si="40"/>
        <v>0</v>
      </c>
      <c r="AA89" s="1117">
        <f t="shared" si="40"/>
        <v>0</v>
      </c>
      <c r="AB89" s="1117">
        <f t="shared" si="40"/>
        <v>0</v>
      </c>
      <c r="AC89" s="1136">
        <f t="shared" si="40"/>
        <v>0</v>
      </c>
    </row>
    <row r="90" spans="2:29" s="1109" customFormat="1" ht="13.5" thickBot="1">
      <c r="B90" s="61"/>
      <c r="C90" s="56"/>
      <c r="D90" s="73"/>
      <c r="E90" s="57"/>
      <c r="F90" s="57"/>
      <c r="G90" s="57"/>
      <c r="H90" s="57"/>
      <c r="I90" s="57"/>
      <c r="J90" s="57"/>
      <c r="K90" s="57"/>
      <c r="L90" s="57"/>
      <c r="M90" s="57"/>
      <c r="N90" s="57"/>
      <c r="O90" s="57"/>
      <c r="P90" s="57"/>
      <c r="Q90" s="57"/>
      <c r="R90" s="57"/>
      <c r="S90" s="57"/>
      <c r="T90" s="57"/>
      <c r="U90" s="57"/>
      <c r="V90" s="57"/>
      <c r="W90" s="57"/>
      <c r="X90" s="57"/>
      <c r="Y90" s="57"/>
      <c r="Z90" s="57"/>
      <c r="AA90" s="57"/>
      <c r="AB90" s="57"/>
      <c r="AC90" s="57"/>
    </row>
    <row r="91" spans="2:29" s="1109" customFormat="1" ht="12.75">
      <c r="B91" s="450" t="s">
        <v>284</v>
      </c>
      <c r="C91" s="456" t="str">
        <f>C82</f>
        <v>Přínosy přímé zaměstnanosti</v>
      </c>
      <c r="D91" s="806"/>
      <c r="E91" s="1351">
        <f>AC82+1</f>
        <v>2039</v>
      </c>
      <c r="F91" s="1351">
        <f aca="true" t="shared" si="41" ref="F91:AC91">E91+1</f>
        <v>2040</v>
      </c>
      <c r="G91" s="1351">
        <f t="shared" si="41"/>
        <v>2041</v>
      </c>
      <c r="H91" s="1351">
        <f t="shared" si="41"/>
        <v>2042</v>
      </c>
      <c r="I91" s="1351">
        <f t="shared" si="41"/>
        <v>2043</v>
      </c>
      <c r="J91" s="1351">
        <f t="shared" si="41"/>
        <v>2044</v>
      </c>
      <c r="K91" s="1351">
        <f t="shared" si="41"/>
        <v>2045</v>
      </c>
      <c r="L91" s="1351">
        <f t="shared" si="41"/>
        <v>2046</v>
      </c>
      <c r="M91" s="1351">
        <f t="shared" si="41"/>
        <v>2047</v>
      </c>
      <c r="N91" s="1351">
        <f t="shared" si="41"/>
        <v>2048</v>
      </c>
      <c r="O91" s="1351">
        <f t="shared" si="41"/>
        <v>2049</v>
      </c>
      <c r="P91" s="1351">
        <f t="shared" si="41"/>
        <v>2050</v>
      </c>
      <c r="Q91" s="1351">
        <f t="shared" si="41"/>
        <v>2051</v>
      </c>
      <c r="R91" s="1351">
        <f t="shared" si="41"/>
        <v>2052</v>
      </c>
      <c r="S91" s="1351">
        <f t="shared" si="41"/>
        <v>2053</v>
      </c>
      <c r="T91" s="1351">
        <f t="shared" si="41"/>
        <v>2054</v>
      </c>
      <c r="U91" s="1351">
        <f t="shared" si="41"/>
        <v>2055</v>
      </c>
      <c r="V91" s="1351">
        <f t="shared" si="41"/>
        <v>2056</v>
      </c>
      <c r="W91" s="1351">
        <f t="shared" si="41"/>
        <v>2057</v>
      </c>
      <c r="X91" s="1351">
        <f t="shared" si="41"/>
        <v>2058</v>
      </c>
      <c r="Y91" s="1351">
        <f t="shared" si="41"/>
        <v>2059</v>
      </c>
      <c r="Z91" s="1351">
        <f t="shared" si="41"/>
        <v>2060</v>
      </c>
      <c r="AA91" s="1351">
        <f t="shared" si="41"/>
        <v>2061</v>
      </c>
      <c r="AB91" s="1351">
        <f t="shared" si="41"/>
        <v>2062</v>
      </c>
      <c r="AC91" s="1353">
        <f t="shared" si="41"/>
        <v>2063</v>
      </c>
    </row>
    <row r="92" spans="2:29" s="1109" customFormat="1" ht="13.5" thickBot="1">
      <c r="B92" s="1110" t="s">
        <v>19</v>
      </c>
      <c r="C92" s="1118"/>
      <c r="D92" s="459"/>
      <c r="E92" s="1352"/>
      <c r="F92" s="1352"/>
      <c r="G92" s="1352"/>
      <c r="H92" s="1352"/>
      <c r="I92" s="1352"/>
      <c r="J92" s="1352"/>
      <c r="K92" s="1352"/>
      <c r="L92" s="1352"/>
      <c r="M92" s="1352"/>
      <c r="N92" s="1352"/>
      <c r="O92" s="1352"/>
      <c r="P92" s="1352"/>
      <c r="Q92" s="1352"/>
      <c r="R92" s="1352"/>
      <c r="S92" s="1352"/>
      <c r="T92" s="1352"/>
      <c r="U92" s="1352"/>
      <c r="V92" s="1352"/>
      <c r="W92" s="1352"/>
      <c r="X92" s="1352"/>
      <c r="Y92" s="1352"/>
      <c r="Z92" s="1352"/>
      <c r="AA92" s="1352"/>
      <c r="AB92" s="1352"/>
      <c r="AC92" s="1354"/>
    </row>
    <row r="93" spans="2:29" s="1109" customFormat="1" ht="12.75">
      <c r="B93" s="1112"/>
      <c r="C93" s="1119" t="str">
        <f aca="true" t="shared" si="42" ref="C93:C98">IF(C84="","",C84)</f>
        <v>Počet nových zaměstnanců</v>
      </c>
      <c r="D93" s="768"/>
      <c r="E93" s="1114"/>
      <c r="F93" s="1114"/>
      <c r="G93" s="1114"/>
      <c r="H93" s="1114"/>
      <c r="I93" s="1114"/>
      <c r="J93" s="1114"/>
      <c r="K93" s="1114"/>
      <c r="L93" s="1114"/>
      <c r="M93" s="1114"/>
      <c r="N93" s="1114"/>
      <c r="O93" s="1114"/>
      <c r="P93" s="1114"/>
      <c r="Q93" s="1114"/>
      <c r="R93" s="1120"/>
      <c r="S93" s="1120"/>
      <c r="T93" s="1120"/>
      <c r="U93" s="1120"/>
      <c r="V93" s="1120"/>
      <c r="W93" s="1120"/>
      <c r="X93" s="1120"/>
      <c r="Y93" s="1120"/>
      <c r="Z93" s="1120"/>
      <c r="AA93" s="1120"/>
      <c r="AB93" s="1120"/>
      <c r="AC93" s="1121"/>
    </row>
    <row r="94" spans="2:29" s="1109" customFormat="1" ht="12.75">
      <c r="B94" s="1112"/>
      <c r="C94" s="1119" t="str">
        <f t="shared" si="42"/>
        <v>Průměrná mzda nových zaměstnanců</v>
      </c>
      <c r="D94" s="768"/>
      <c r="E94" s="1120"/>
      <c r="F94" s="1120"/>
      <c r="G94" s="1120"/>
      <c r="H94" s="1120"/>
      <c r="I94" s="1120"/>
      <c r="J94" s="1120"/>
      <c r="K94" s="1120"/>
      <c r="L94" s="1120"/>
      <c r="M94" s="1120"/>
      <c r="N94" s="1120"/>
      <c r="O94" s="1120"/>
      <c r="P94" s="1120"/>
      <c r="Q94" s="1120"/>
      <c r="R94" s="1120"/>
      <c r="S94" s="1120"/>
      <c r="T94" s="1120"/>
      <c r="U94" s="1120"/>
      <c r="V94" s="1120"/>
      <c r="W94" s="1120"/>
      <c r="X94" s="1120"/>
      <c r="Y94" s="1120"/>
      <c r="Z94" s="1120"/>
      <c r="AA94" s="1120"/>
      <c r="AB94" s="1120"/>
      <c r="AC94" s="1121"/>
    </row>
    <row r="95" spans="1:29" s="1109" customFormat="1" ht="12.75">
      <c r="A95" s="1141"/>
      <c r="B95" s="1130"/>
      <c r="C95" s="1130" t="str">
        <f t="shared" si="42"/>
        <v>Průměrná statistická mzda</v>
      </c>
      <c r="D95" s="1131"/>
      <c r="E95" s="1132"/>
      <c r="F95" s="1132"/>
      <c r="G95" s="1132"/>
      <c r="H95" s="1132"/>
      <c r="I95" s="1132"/>
      <c r="J95" s="1132"/>
      <c r="K95" s="1132"/>
      <c r="L95" s="1132"/>
      <c r="M95" s="1132"/>
      <c r="N95" s="1132"/>
      <c r="O95" s="1132"/>
      <c r="P95" s="1132"/>
      <c r="Q95" s="1132"/>
      <c r="R95" s="1132"/>
      <c r="S95" s="1132"/>
      <c r="T95" s="1132"/>
      <c r="U95" s="1132"/>
      <c r="V95" s="1132"/>
      <c r="W95" s="1132"/>
      <c r="X95" s="1132"/>
      <c r="Y95" s="1132"/>
      <c r="Z95" s="1132"/>
      <c r="AA95" s="1132"/>
      <c r="AB95" s="1132"/>
      <c r="AC95" s="1135"/>
    </row>
    <row r="96" spans="1:29" s="1109" customFormat="1" ht="12.75">
      <c r="A96" s="1141"/>
      <c r="B96" s="1133"/>
      <c r="C96" s="1133" t="str">
        <f t="shared" si="42"/>
        <v>Stínová mzda</v>
      </c>
      <c r="D96" s="1134"/>
      <c r="E96" s="1129">
        <f>AC87</f>
        <v>0</v>
      </c>
      <c r="F96" s="1129">
        <f>E96</f>
        <v>0</v>
      </c>
      <c r="G96" s="1129">
        <f aca="true" t="shared" si="43" ref="G96:AC96">F96</f>
        <v>0</v>
      </c>
      <c r="H96" s="1129">
        <f t="shared" si="43"/>
        <v>0</v>
      </c>
      <c r="I96" s="1129">
        <f t="shared" si="43"/>
        <v>0</v>
      </c>
      <c r="J96" s="1129">
        <f t="shared" si="43"/>
        <v>0</v>
      </c>
      <c r="K96" s="1129">
        <f t="shared" si="43"/>
        <v>0</v>
      </c>
      <c r="L96" s="1129">
        <f t="shared" si="43"/>
        <v>0</v>
      </c>
      <c r="M96" s="1129">
        <f t="shared" si="43"/>
        <v>0</v>
      </c>
      <c r="N96" s="1129">
        <f t="shared" si="43"/>
        <v>0</v>
      </c>
      <c r="O96" s="1129">
        <f t="shared" si="43"/>
        <v>0</v>
      </c>
      <c r="P96" s="1129">
        <f t="shared" si="43"/>
        <v>0</v>
      </c>
      <c r="Q96" s="1129">
        <f t="shared" si="43"/>
        <v>0</v>
      </c>
      <c r="R96" s="1129">
        <f t="shared" si="43"/>
        <v>0</v>
      </c>
      <c r="S96" s="1129">
        <f t="shared" si="43"/>
        <v>0</v>
      </c>
      <c r="T96" s="1129">
        <f t="shared" si="43"/>
        <v>0</v>
      </c>
      <c r="U96" s="1129">
        <f t="shared" si="43"/>
        <v>0</v>
      </c>
      <c r="V96" s="1129">
        <f t="shared" si="43"/>
        <v>0</v>
      </c>
      <c r="W96" s="1129">
        <f t="shared" si="43"/>
        <v>0</v>
      </c>
      <c r="X96" s="1129">
        <f t="shared" si="43"/>
        <v>0</v>
      </c>
      <c r="Y96" s="1129">
        <f t="shared" si="43"/>
        <v>0</v>
      </c>
      <c r="Z96" s="1129">
        <f t="shared" si="43"/>
        <v>0</v>
      </c>
      <c r="AA96" s="1129">
        <f t="shared" si="43"/>
        <v>0</v>
      </c>
      <c r="AB96" s="1129">
        <f t="shared" si="43"/>
        <v>0</v>
      </c>
      <c r="AC96" s="1129">
        <f t="shared" si="43"/>
        <v>0</v>
      </c>
    </row>
    <row r="97" spans="2:29" s="1109" customFormat="1" ht="12.75">
      <c r="B97" s="1122"/>
      <c r="C97" s="1123" t="str">
        <f t="shared" si="42"/>
        <v>Míra nezaměstnanosti</v>
      </c>
      <c r="D97" s="750"/>
      <c r="E97" s="1139"/>
      <c r="F97" s="1139"/>
      <c r="G97" s="1139"/>
      <c r="H97" s="1139"/>
      <c r="I97" s="1139"/>
      <c r="J97" s="1139"/>
      <c r="K97" s="1139"/>
      <c r="L97" s="1139"/>
      <c r="M97" s="1139"/>
      <c r="N97" s="1139"/>
      <c r="O97" s="1139"/>
      <c r="P97" s="1139"/>
      <c r="Q97" s="1139"/>
      <c r="R97" s="1139"/>
      <c r="S97" s="1139"/>
      <c r="T97" s="1139"/>
      <c r="U97" s="1139"/>
      <c r="V97" s="1139"/>
      <c r="W97" s="1139"/>
      <c r="X97" s="1139"/>
      <c r="Y97" s="1139"/>
      <c r="Z97" s="1139"/>
      <c r="AA97" s="1139"/>
      <c r="AB97" s="1139"/>
      <c r="AC97" s="1140"/>
    </row>
    <row r="98" spans="2:29" s="1109" customFormat="1" ht="13.5" thickBot="1">
      <c r="B98" s="744"/>
      <c r="C98" s="751" t="str">
        <f t="shared" si="42"/>
        <v>Přínosy přímé zaměstnanosti</v>
      </c>
      <c r="D98" s="1106" t="s">
        <v>134</v>
      </c>
      <c r="E98" s="1117">
        <f>E93*(E94-E96)*12</f>
        <v>0</v>
      </c>
      <c r="F98" s="1117">
        <f aca="true" t="shared" si="44" ref="F98:AC98">F93*(F94-F96)*12</f>
        <v>0</v>
      </c>
      <c r="G98" s="1117">
        <f t="shared" si="44"/>
        <v>0</v>
      </c>
      <c r="H98" s="1117">
        <f t="shared" si="44"/>
        <v>0</v>
      </c>
      <c r="I98" s="1117">
        <f t="shared" si="44"/>
        <v>0</v>
      </c>
      <c r="J98" s="1117">
        <f t="shared" si="44"/>
        <v>0</v>
      </c>
      <c r="K98" s="1117">
        <f t="shared" si="44"/>
        <v>0</v>
      </c>
      <c r="L98" s="1117">
        <f t="shared" si="44"/>
        <v>0</v>
      </c>
      <c r="M98" s="1117">
        <f t="shared" si="44"/>
        <v>0</v>
      </c>
      <c r="N98" s="1117">
        <f t="shared" si="44"/>
        <v>0</v>
      </c>
      <c r="O98" s="1117">
        <f t="shared" si="44"/>
        <v>0</v>
      </c>
      <c r="P98" s="1117">
        <f t="shared" si="44"/>
        <v>0</v>
      </c>
      <c r="Q98" s="1117">
        <f t="shared" si="44"/>
        <v>0</v>
      </c>
      <c r="R98" s="1117">
        <f t="shared" si="44"/>
        <v>0</v>
      </c>
      <c r="S98" s="1117">
        <f t="shared" si="44"/>
        <v>0</v>
      </c>
      <c r="T98" s="1117">
        <f t="shared" si="44"/>
        <v>0</v>
      </c>
      <c r="U98" s="1117">
        <f t="shared" si="44"/>
        <v>0</v>
      </c>
      <c r="V98" s="1117">
        <f t="shared" si="44"/>
        <v>0</v>
      </c>
      <c r="W98" s="1117">
        <f t="shared" si="44"/>
        <v>0</v>
      </c>
      <c r="X98" s="1117">
        <f t="shared" si="44"/>
        <v>0</v>
      </c>
      <c r="Y98" s="1117">
        <f t="shared" si="44"/>
        <v>0</v>
      </c>
      <c r="Z98" s="1117">
        <f t="shared" si="44"/>
        <v>0</v>
      </c>
      <c r="AA98" s="1117">
        <f t="shared" si="44"/>
        <v>0</v>
      </c>
      <c r="AB98" s="1117">
        <f t="shared" si="44"/>
        <v>0</v>
      </c>
      <c r="AC98" s="1136">
        <f t="shared" si="44"/>
        <v>0</v>
      </c>
    </row>
    <row r="99" s="1108" customFormat="1" ht="11.25"/>
    <row r="100" s="1108" customFormat="1" ht="12" thickBot="1"/>
    <row r="101" spans="2:16" s="1108" customFormat="1" ht="11.25">
      <c r="B101" s="1424" t="str">
        <f>IF('0 Úvod'!$M$3="English",Slovnik!D274,Slovnik!C274)</f>
        <v>Komentáře</v>
      </c>
      <c r="C101" s="1425"/>
      <c r="D101" s="1425"/>
      <c r="E101" s="1425"/>
      <c r="F101" s="1425"/>
      <c r="G101" s="1425"/>
      <c r="H101" s="1425"/>
      <c r="I101" s="1425"/>
      <c r="J101" s="1425"/>
      <c r="K101" s="1425"/>
      <c r="L101" s="1425"/>
      <c r="M101" s="1425"/>
      <c r="N101" s="1425"/>
      <c r="O101" s="1425"/>
      <c r="P101" s="1426"/>
    </row>
    <row r="102" spans="2:16" s="1108" customFormat="1" ht="12" thickBot="1">
      <c r="B102" s="1442"/>
      <c r="C102" s="1443"/>
      <c r="D102" s="1443"/>
      <c r="E102" s="1443"/>
      <c r="F102" s="1443"/>
      <c r="G102" s="1443"/>
      <c r="H102" s="1443"/>
      <c r="I102" s="1443"/>
      <c r="J102" s="1443"/>
      <c r="K102" s="1443"/>
      <c r="L102" s="1443"/>
      <c r="M102" s="1443"/>
      <c r="N102" s="1443"/>
      <c r="O102" s="1443"/>
      <c r="P102" s="1444"/>
    </row>
    <row r="103" spans="2:16" s="1108" customFormat="1" ht="12.75" customHeight="1">
      <c r="B103" s="1468" t="s">
        <v>618</v>
      </c>
      <c r="C103" s="1469"/>
      <c r="D103" s="1469"/>
      <c r="E103" s="1469"/>
      <c r="F103" s="1469"/>
      <c r="G103" s="1469"/>
      <c r="H103" s="1469"/>
      <c r="I103" s="1469"/>
      <c r="J103" s="1469"/>
      <c r="K103" s="1469"/>
      <c r="L103" s="1469"/>
      <c r="M103" s="1469"/>
      <c r="N103" s="1469"/>
      <c r="O103" s="1469"/>
      <c r="P103" s="1470"/>
    </row>
    <row r="104" spans="2:16" s="1108" customFormat="1" ht="12.75" customHeight="1">
      <c r="B104" s="1471"/>
      <c r="C104" s="1472"/>
      <c r="D104" s="1472"/>
      <c r="E104" s="1472"/>
      <c r="F104" s="1472"/>
      <c r="G104" s="1472"/>
      <c r="H104" s="1472"/>
      <c r="I104" s="1472"/>
      <c r="J104" s="1472"/>
      <c r="K104" s="1472"/>
      <c r="L104" s="1472"/>
      <c r="M104" s="1472"/>
      <c r="N104" s="1472"/>
      <c r="O104" s="1472"/>
      <c r="P104" s="1473"/>
    </row>
    <row r="105" spans="2:16" s="1108" customFormat="1" ht="12.75" customHeight="1" thickBot="1">
      <c r="B105" s="1474"/>
      <c r="C105" s="1475"/>
      <c r="D105" s="1475"/>
      <c r="E105" s="1475"/>
      <c r="F105" s="1475"/>
      <c r="G105" s="1475"/>
      <c r="H105" s="1475"/>
      <c r="I105" s="1475"/>
      <c r="J105" s="1475"/>
      <c r="K105" s="1475"/>
      <c r="L105" s="1475"/>
      <c r="M105" s="1475"/>
      <c r="N105" s="1475"/>
      <c r="O105" s="1475"/>
      <c r="P105" s="1476"/>
    </row>
    <row r="106" s="1108" customFormat="1" ht="11.25"/>
  </sheetData>
  <sheetProtection/>
  <mergeCells count="218">
    <mergeCell ref="S2:S3"/>
    <mergeCell ref="F13:F14"/>
    <mergeCell ref="G13:G14"/>
    <mergeCell ref="H13:H14"/>
    <mergeCell ref="I13:I14"/>
    <mergeCell ref="J13:J14"/>
    <mergeCell ref="K13:K14"/>
    <mergeCell ref="L13:L14"/>
    <mergeCell ref="N2:N3"/>
    <mergeCell ref="Q2:Q3"/>
    <mergeCell ref="Q13:Q14"/>
    <mergeCell ref="M13:M14"/>
    <mergeCell ref="N13:N14"/>
    <mergeCell ref="O13:O14"/>
    <mergeCell ref="P13:P14"/>
    <mergeCell ref="S13:S14"/>
    <mergeCell ref="F2:F3"/>
    <mergeCell ref="G2:G3"/>
    <mergeCell ref="Q25:Q26"/>
    <mergeCell ref="J25:J26"/>
    <mergeCell ref="R13:R14"/>
    <mergeCell ref="R25:R26"/>
    <mergeCell ref="R2:R3"/>
    <mergeCell ref="N25:N26"/>
    <mergeCell ref="E2:E3"/>
    <mergeCell ref="E13:E14"/>
    <mergeCell ref="E35:E36"/>
    <mergeCell ref="H2:H3"/>
    <mergeCell ref="I2:I3"/>
    <mergeCell ref="J2:J3"/>
    <mergeCell ref="L2:L3"/>
    <mergeCell ref="M2:M3"/>
    <mergeCell ref="L25:L26"/>
    <mergeCell ref="O25:O26"/>
    <mergeCell ref="K25:K26"/>
    <mergeCell ref="O2:O3"/>
    <mergeCell ref="P2:P3"/>
    <mergeCell ref="K2:K3"/>
    <mergeCell ref="F53:F54"/>
    <mergeCell ref="H53:H54"/>
    <mergeCell ref="F25:F26"/>
    <mergeCell ref="G25:G26"/>
    <mergeCell ref="H25:H26"/>
    <mergeCell ref="I25:I26"/>
    <mergeCell ref="B103:P105"/>
    <mergeCell ref="B4:B5"/>
    <mergeCell ref="B15:B16"/>
    <mergeCell ref="B27:B28"/>
    <mergeCell ref="B37:B38"/>
    <mergeCell ref="G53:G54"/>
    <mergeCell ref="I53:I54"/>
    <mergeCell ref="J53:J54"/>
    <mergeCell ref="E25:E26"/>
    <mergeCell ref="K71:L71"/>
    <mergeCell ref="K72:L72"/>
    <mergeCell ref="K69:L69"/>
    <mergeCell ref="M25:M26"/>
    <mergeCell ref="P25:P26"/>
    <mergeCell ref="E46:E47"/>
    <mergeCell ref="E53:E54"/>
    <mergeCell ref="K70:L70"/>
    <mergeCell ref="S35:S36"/>
    <mergeCell ref="M35:M36"/>
    <mergeCell ref="N35:N36"/>
    <mergeCell ref="O35:O36"/>
    <mergeCell ref="P35:P36"/>
    <mergeCell ref="S46:S47"/>
    <mergeCell ref="F46:F47"/>
    <mergeCell ref="R46:R47"/>
    <mergeCell ref="M46:M47"/>
    <mergeCell ref="I46:I47"/>
    <mergeCell ref="O46:O47"/>
    <mergeCell ref="N46:N47"/>
    <mergeCell ref="H46:H47"/>
    <mergeCell ref="J46:J47"/>
    <mergeCell ref="K46:K47"/>
    <mergeCell ref="L46:L47"/>
    <mergeCell ref="R35:R36"/>
    <mergeCell ref="Q46:Q47"/>
    <mergeCell ref="P46:P47"/>
    <mergeCell ref="Q35:Q36"/>
    <mergeCell ref="K35:K36"/>
    <mergeCell ref="L35:L36"/>
    <mergeCell ref="G46:G47"/>
    <mergeCell ref="S25:S26"/>
    <mergeCell ref="F35:F36"/>
    <mergeCell ref="G35:G36"/>
    <mergeCell ref="H35:H36"/>
    <mergeCell ref="I35:I36"/>
    <mergeCell ref="J35:J36"/>
    <mergeCell ref="AC2:AC3"/>
    <mergeCell ref="T13:T14"/>
    <mergeCell ref="U13:U14"/>
    <mergeCell ref="V13:V14"/>
    <mergeCell ref="W13:W14"/>
    <mergeCell ref="X13:X14"/>
    <mergeCell ref="Y13:Y14"/>
    <mergeCell ref="Z13:Z14"/>
    <mergeCell ref="AA13:AA14"/>
    <mergeCell ref="AB13:AB14"/>
    <mergeCell ref="AC13:AC14"/>
    <mergeCell ref="T2:T3"/>
    <mergeCell ref="U2:U3"/>
    <mergeCell ref="V2:V3"/>
    <mergeCell ref="W2:W3"/>
    <mergeCell ref="X2:X3"/>
    <mergeCell ref="Y2:Y3"/>
    <mergeCell ref="Z2:Z3"/>
    <mergeCell ref="AA2:AA3"/>
    <mergeCell ref="AB2:AB3"/>
    <mergeCell ref="AC25:AC26"/>
    <mergeCell ref="T35:T36"/>
    <mergeCell ref="U35:U36"/>
    <mergeCell ref="V35:V36"/>
    <mergeCell ref="W35:W36"/>
    <mergeCell ref="X35:X36"/>
    <mergeCell ref="Y35:Y36"/>
    <mergeCell ref="AA35:AA36"/>
    <mergeCell ref="AB35:AB36"/>
    <mergeCell ref="AC35:AC36"/>
    <mergeCell ref="Z35:Z36"/>
    <mergeCell ref="T25:T26"/>
    <mergeCell ref="U25:U26"/>
    <mergeCell ref="V25:V26"/>
    <mergeCell ref="W25:W26"/>
    <mergeCell ref="X25:X26"/>
    <mergeCell ref="Y25:Y26"/>
    <mergeCell ref="Z25:Z26"/>
    <mergeCell ref="AA25:AA26"/>
    <mergeCell ref="AB25:AB26"/>
    <mergeCell ref="AB46:AB47"/>
    <mergeCell ref="AC46:AC47"/>
    <mergeCell ref="T53:T54"/>
    <mergeCell ref="U53:U54"/>
    <mergeCell ref="T46:T47"/>
    <mergeCell ref="U46:U47"/>
    <mergeCell ref="V46:V47"/>
    <mergeCell ref="W46:W47"/>
    <mergeCell ref="X46:X47"/>
    <mergeCell ref="Y46:Y47"/>
    <mergeCell ref="V53:V54"/>
    <mergeCell ref="W53:W54"/>
    <mergeCell ref="X53:X54"/>
    <mergeCell ref="Y53:Y54"/>
    <mergeCell ref="AB53:AB54"/>
    <mergeCell ref="AC53:AC54"/>
    <mergeCell ref="AA46:AA47"/>
    <mergeCell ref="Z53:Z54"/>
    <mergeCell ref="AA53:AA54"/>
    <mergeCell ref="Z46:Z47"/>
    <mergeCell ref="Z91:Z92"/>
    <mergeCell ref="C66:I66"/>
    <mergeCell ref="S53:S54"/>
    <mergeCell ref="Q53:Q54"/>
    <mergeCell ref="R53:R54"/>
    <mergeCell ref="M53:M54"/>
    <mergeCell ref="N53:N54"/>
    <mergeCell ref="O53:O54"/>
    <mergeCell ref="K53:K54"/>
    <mergeCell ref="L53:L54"/>
    <mergeCell ref="C70:H70"/>
    <mergeCell ref="C71:H71"/>
    <mergeCell ref="B75:P76"/>
    <mergeCell ref="P53:P54"/>
    <mergeCell ref="C73:I73"/>
    <mergeCell ref="N82:N83"/>
    <mergeCell ref="O82:O83"/>
    <mergeCell ref="P82:P83"/>
    <mergeCell ref="Q82:Q83"/>
    <mergeCell ref="R82:R83"/>
    <mergeCell ref="S82:S83"/>
    <mergeCell ref="C68:C69"/>
    <mergeCell ref="C72:H72"/>
    <mergeCell ref="T82:T83"/>
    <mergeCell ref="AA91:AA92"/>
    <mergeCell ref="AB91:AB92"/>
    <mergeCell ref="AC91:AC92"/>
    <mergeCell ref="U91:U92"/>
    <mergeCell ref="B101:P102"/>
    <mergeCell ref="B77:P79"/>
    <mergeCell ref="W82:W83"/>
    <mergeCell ref="X82:X83"/>
    <mergeCell ref="Y82:Y83"/>
    <mergeCell ref="Z82:Z83"/>
    <mergeCell ref="AA82:AA83"/>
    <mergeCell ref="AB82:AB83"/>
    <mergeCell ref="AC82:AC83"/>
    <mergeCell ref="E91:E92"/>
    <mergeCell ref="F91:F92"/>
    <mergeCell ref="G91:G92"/>
    <mergeCell ref="H91:H92"/>
    <mergeCell ref="I91:I92"/>
    <mergeCell ref="J91:J92"/>
    <mergeCell ref="K91:K92"/>
    <mergeCell ref="L91:L92"/>
    <mergeCell ref="W91:W92"/>
    <mergeCell ref="X91:X92"/>
    <mergeCell ref="Y91:Y92"/>
    <mergeCell ref="U82:U83"/>
    <mergeCell ref="V82:V83"/>
    <mergeCell ref="E82:E83"/>
    <mergeCell ref="F82:F83"/>
    <mergeCell ref="G82:G83"/>
    <mergeCell ref="H82:H83"/>
    <mergeCell ref="I82:I83"/>
    <mergeCell ref="J82:J83"/>
    <mergeCell ref="K82:K83"/>
    <mergeCell ref="L82:L83"/>
    <mergeCell ref="M82:M83"/>
    <mergeCell ref="V91:V92"/>
    <mergeCell ref="M91:M92"/>
    <mergeCell ref="N91:N92"/>
    <mergeCell ref="O91:O92"/>
    <mergeCell ref="P91:P92"/>
    <mergeCell ref="Q91:Q92"/>
    <mergeCell ref="R91:R92"/>
    <mergeCell ref="S91:S92"/>
    <mergeCell ref="T91:T92"/>
  </mergeCells>
  <printOptions/>
  <pageMargins left="0.1931496062992126" right="0.1968503937007874" top="0.7900000000000001" bottom="0.7900000000000001" header="0.39000000000000007" footer="0.39000000000000007"/>
  <pageSetup fitToHeight="0" fitToWidth="1" horizontalDpi="600" verticalDpi="600" orientation="landscape" paperSize="9" scale="40" r:id="rId3"/>
  <headerFooter alignWithMargins="0">
    <oddFooter>&amp;L&amp;A&amp;C25.2.2013</oddFooter>
  </headerFooter>
  <rowBreaks count="1" manualBreakCount="1">
    <brk id="79" min="1" max="2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NDCON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tabulky</dc:title>
  <dc:subject/>
  <dc:creator>Ing.Dominik Žďánský</dc:creator>
  <cp:keywords/>
  <dc:description>Vyvynuto v rámci veřejné zakázky</dc:description>
  <cp:lastModifiedBy>Novák Martin, Bc., DiS.;070;225131562</cp:lastModifiedBy>
  <cp:lastPrinted>2014-01-09T15:19:43Z</cp:lastPrinted>
  <dcterms:created xsi:type="dcterms:W3CDTF">2004-06-30T11:02:41Z</dcterms:created>
  <dcterms:modified xsi:type="dcterms:W3CDTF">2014-02-21T15:57:49Z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