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45" tabRatio="835" activeTab="0"/>
  </bookViews>
  <sheets>
    <sheet name="0 Úvod" sheetId="1" r:id="rId1"/>
    <sheet name="1 Celkové investiční náklady" sheetId="2" r:id="rId2"/>
    <sheet name="2 Zůstatková hodnota" sheetId="3" r:id="rId3"/>
    <sheet name="3 Provozní náklady" sheetId="4" r:id="rId4"/>
    <sheet name="4 Tržby" sheetId="5" r:id="rId5"/>
    <sheet name="5 Finanční analýza (FRR_C)" sheetId="6" r:id="rId6"/>
    <sheet name="6 Kontrola dotací" sheetId="7" r:id="rId7"/>
    <sheet name="7 Mezera ve financování" sheetId="8" r:id="rId8"/>
    <sheet name="8 Finanční struktura" sheetId="9" r:id="rId9"/>
    <sheet name="9 Udržitelnost" sheetId="10" r:id="rId10"/>
    <sheet name="10 FRR_K" sheetId="11" r:id="rId11"/>
    <sheet name="Změnový list" sheetId="12" r:id="rId12"/>
  </sheets>
  <definedNames>
    <definedName name="_xlnm.Print_Area" localSheetId="0">'0 Úvod'!$B$3:$O$87</definedName>
    <definedName name="_xlnm.Print_Area" localSheetId="1">'1 Celkové investiční náklady'!$B$2:$AE$69</definedName>
    <definedName name="_xlnm.Print_Area" localSheetId="10">'10 FRR_K'!$B$2:$AC$32</definedName>
    <definedName name="_xlnm.Print_Area" localSheetId="2">'2 Zůstatková hodnota'!$B$2:$AC$55</definedName>
    <definedName name="_xlnm.Print_Area" localSheetId="3">'3 Provozní náklady'!$B$2:$AC$49</definedName>
    <definedName name="_xlnm.Print_Area" localSheetId="4">'4 Tržby'!$B$2:$AC$50</definedName>
    <definedName name="_xlnm.Print_Area" localSheetId="5">'5 Finanční analýza (FRR_C)'!$B$2:$AC$29</definedName>
    <definedName name="_xlnm.Print_Area" localSheetId="6">'6 Kontrola dotací'!$B$2:$AC$50</definedName>
    <definedName name="_xlnm.Print_Area" localSheetId="7">'7 Mezera ve financování'!$B$2:$AC$35</definedName>
    <definedName name="_xlnm.Print_Area" localSheetId="8">'8 Finanční struktura'!$B$2:$AD$65</definedName>
    <definedName name="_xlnm.Print_Area" localSheetId="9">'9 Udržitelnost'!$B$2:$AC$39</definedName>
  </definedNames>
  <calcPr fullCalcOnLoad="1"/>
</workbook>
</file>

<file path=xl/comments1.xml><?xml version="1.0" encoding="utf-8"?>
<comments xmlns="http://schemas.openxmlformats.org/spreadsheetml/2006/main">
  <authors>
    <author>Ing. Dominik Žďánský</author>
    <author>Vecera Martin, Ing.</author>
  </authors>
  <commentList>
    <comment ref="N21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8" authorId="1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C70" authorId="1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D19" authorId="1">
      <text>
        <r>
          <rPr>
            <sz val="8"/>
            <rFont val="Tahoma"/>
            <family val="2"/>
          </rPr>
          <t xml:space="preserve">Rok začátku stavebních prací
</t>
        </r>
      </text>
    </comment>
    <comment ref="H69" authorId="1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9" authorId="1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L78" authorId="1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8" authorId="1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46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62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55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38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56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74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8.xml><?xml version="1.0" encoding="utf-8"?>
<comments xmlns="http://schemas.openxmlformats.org/spreadsheetml/2006/main">
  <authors>
    <author>marketa.roznikova</author>
    <author>Vecera Martin, Ing.</author>
  </authors>
  <commentList>
    <comment ref="D10" authorId="0">
      <text>
        <r>
          <rPr>
            <sz val="8"/>
            <rFont val="Tahoma"/>
            <family val="2"/>
          </rPr>
          <t>Ve vzorci je již zohledněno případné vynechání úspor provozních nákladů dle COCOF 07/0074.</t>
        </r>
      </text>
    </comment>
    <comment ref="G24" authorId="1">
      <text>
        <r>
          <rPr>
            <sz val="8"/>
            <rFont val="Tahoma"/>
            <family val="2"/>
          </rPr>
          <t xml:space="preserve">V případě souhrnu staveb vložit napevno 85%!
='1 Celkové investiční náklady'!F10*0,85
</t>
        </r>
      </text>
    </comment>
  </commentList>
</comments>
</file>

<file path=xl/sharedStrings.xml><?xml version="1.0" encoding="utf-8"?>
<sst xmlns="http://schemas.openxmlformats.org/spreadsheetml/2006/main" count="661" uniqueCount="328">
  <si>
    <t>EUR</t>
  </si>
  <si>
    <t xml:space="preserve">Cash Flow </t>
  </si>
  <si>
    <t xml:space="preserve"> </t>
  </si>
  <si>
    <t>Total</t>
  </si>
  <si>
    <t>CZK</t>
  </si>
  <si>
    <t>F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</si>
  <si>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</si>
  <si>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</si>
  <si>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</si>
  <si>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</si>
  <si>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</si>
  <si>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</si>
  <si>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</si>
  <si>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</si>
  <si>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</si>
  <si>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</si>
  <si>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1.1.</t>
  </si>
  <si>
    <t>1.2.</t>
  </si>
  <si>
    <t>FRR_K</t>
  </si>
  <si>
    <t>6.1.</t>
  </si>
  <si>
    <t>7.3.</t>
  </si>
  <si>
    <t>8.1.</t>
  </si>
  <si>
    <t>8.2.</t>
  </si>
  <si>
    <t>10.1.</t>
  </si>
  <si>
    <t>9.1.</t>
  </si>
  <si>
    <t>a</t>
  </si>
  <si>
    <t>b</t>
  </si>
  <si>
    <t>7.1.</t>
  </si>
  <si>
    <t>5.1.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</si>
  <si>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</si>
  <si>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</si>
  <si>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</si>
  <si>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</si>
  <si>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</si>
  <si>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</si>
  <si>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</si>
  <si>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</si>
  <si>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</si>
  <si>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2.1., 2.2</t>
  </si>
  <si>
    <t>3.1., 3.2., 3.3</t>
  </si>
  <si>
    <t>4.1., 4.2., 4.3</t>
  </si>
  <si>
    <t>7.1., 7.2</t>
  </si>
  <si>
    <t>2.4.</t>
  </si>
  <si>
    <t>Úvod</t>
  </si>
  <si>
    <t>Základní informace</t>
  </si>
  <si>
    <t>Zdroj dat:</t>
  </si>
  <si>
    <t xml:space="preserve">Cenová úroveň (CÚ) </t>
  </si>
  <si>
    <t>Diskontní sazba</t>
  </si>
  <si>
    <t>Začátek stavebních prací</t>
  </si>
  <si>
    <t>Začátek provozu</t>
  </si>
  <si>
    <t xml:space="preserve">Směnný kurz (CZK/EUR) </t>
  </si>
  <si>
    <t>DPH</t>
  </si>
  <si>
    <t>Vyplnit pouze žlutě podbarvené buňky!</t>
  </si>
  <si>
    <t>Seznam tabulek</t>
  </si>
  <si>
    <t>List / tabulka</t>
  </si>
  <si>
    <t>*  v případě "stavebního souboru" (např. tranzitní železniční koridor) - všechny tabulky se vztahují na celý projekt</t>
  </si>
  <si>
    <t>** tabulky pro projektovou žádost</t>
  </si>
  <si>
    <t>Celkové investiční náklady</t>
  </si>
  <si>
    <t>Celk. investiční náklady</t>
  </si>
  <si>
    <t>Zůstatková hodnota</t>
  </si>
  <si>
    <t>Provozní náklady</t>
  </si>
  <si>
    <t>Tržby</t>
  </si>
  <si>
    <t>Kontrola dotací</t>
  </si>
  <si>
    <t>Finanční struktura</t>
  </si>
  <si>
    <t>Udržitelnost</t>
  </si>
  <si>
    <t>Míra inflace</t>
  </si>
  <si>
    <t>rok</t>
  </si>
  <si>
    <t>Celkové investiční náklady (CZK) *</t>
  </si>
  <si>
    <t>Přípravná a projektová dokumentace</t>
  </si>
  <si>
    <t>Stroje a zařízení</t>
  </si>
  <si>
    <t>Celk. projekt. náklady</t>
  </si>
  <si>
    <t>V roce</t>
  </si>
  <si>
    <t>Neoprávněné náklady</t>
  </si>
  <si>
    <t>Oprávněné náklady</t>
  </si>
  <si>
    <t>Celkové investiční náklady (CZK)</t>
  </si>
  <si>
    <t>Propagace</t>
  </si>
  <si>
    <t>*  v případě "stavebního souboru" (např. tranzitní železniční koridor) - celkové náklady se vztahují na celý projekt</t>
  </si>
  <si>
    <t>Komentáře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</si>
  <si>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</si>
  <si>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</si>
  <si>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</si>
  <si>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</si>
  <si>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</si>
  <si>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Celkem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</si>
  <si>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</si>
  <si>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</si>
  <si>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</si>
  <si>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</si>
  <si>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</si>
  <si>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</si>
  <si>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</si>
  <si>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</si>
  <si>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</si>
  <si>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Náklady (CZK)</t>
  </si>
  <si>
    <t>Celkové provozní náklady (CZK)</t>
  </si>
  <si>
    <t>Scénář s projektem</t>
  </si>
  <si>
    <t>Scenář s projektem</t>
  </si>
  <si>
    <t>Náklady na údržbu a provoz infrastruktury</t>
  </si>
  <si>
    <t>Náklady na řízení provozu</t>
  </si>
  <si>
    <t>Celkové provozní náklady</t>
  </si>
  <si>
    <t>Scénář bez projektu</t>
  </si>
  <si>
    <t>Přírůstkové celkové provozní náklady (CZK)</t>
  </si>
  <si>
    <t>Přírůstkové celkové provozní náklady</t>
  </si>
  <si>
    <t>Scénář s projektem (CZK)</t>
  </si>
  <si>
    <t>Scénář bez projektu (CZK)</t>
  </si>
  <si>
    <t>Přírůstkové cash-flow (CZK)</t>
  </si>
  <si>
    <t>S projektem</t>
  </si>
  <si>
    <t>Bez projektu</t>
  </si>
  <si>
    <t>Náklady na údržbu a opravy</t>
  </si>
  <si>
    <t>Redukce přírůstkových provozních nákladů</t>
  </si>
  <si>
    <t>Redukce dotací</t>
  </si>
  <si>
    <t>Redukce provozních dotací - koridory</t>
  </si>
  <si>
    <t>Je snížení provozních nákladů plně kompenzováno snížením dotací</t>
  </si>
  <si>
    <t>* tržby hrazené přímo uživateli, Článek 55 č. 1083/2006 paragraf 2</t>
  </si>
  <si>
    <t>**rozdíl mezi poklesem provozních nákladů a poklesem provozních dotací</t>
  </si>
  <si>
    <t>Kalkulace finančního vnitřního výnosového procenta</t>
  </si>
  <si>
    <t>Celkové výnosy</t>
  </si>
  <si>
    <t>Celkové přírůstkové provozní náklady</t>
  </si>
  <si>
    <t>Celkové náklady</t>
  </si>
  <si>
    <t>Diskontované cash flow</t>
  </si>
  <si>
    <t>Finanční vnitřní výnosové procento investice FRR/C</t>
  </si>
  <si>
    <t>Finanční čistá současná hodnota investice FNPV/C (CZK)</t>
  </si>
  <si>
    <t>Finanční čistá současná hodnota investice FNPV/C (EUR)</t>
  </si>
  <si>
    <t>Kalkulace finanční mezery a přidělení</t>
  </si>
  <si>
    <t>grantu EU (CZK)</t>
  </si>
  <si>
    <t>Přírůstkové celkové provozní náklady*</t>
  </si>
  <si>
    <t>Zůstatková hodnota investice</t>
  </si>
  <si>
    <t>Diskontní faktor</t>
  </si>
  <si>
    <t>Kalkulace veřejného příspěvku (CZK) - stálé ceny</t>
  </si>
  <si>
    <t>Rozhodná částka (oprávněné náklady*R)</t>
  </si>
  <si>
    <t>Míra spolufinancování prioritních os (%)</t>
  </si>
  <si>
    <t>** tržby hrazené přímo uživateli, Článek 55 č. 1083/2006 paragraf 2</t>
  </si>
  <si>
    <t>* v případě vynechání dle COCOF 07/0074, musí být poskytnuta ukázka úměrného snížení dotací na základě každoroční shody s hodnotami cash-flow z tabulky "Provozní náklady"</t>
  </si>
  <si>
    <t>Kontrolní suma*</t>
  </si>
  <si>
    <t>* kontrola souladu celk. finančních zdrojů s celk. investičními náklady</t>
  </si>
  <si>
    <t>Zdroje financování investičních nákladů  (CZK)</t>
  </si>
  <si>
    <t>Stálé ceny</t>
  </si>
  <si>
    <t>Vlastní zdroje</t>
  </si>
  <si>
    <t>Ostatní zdroje</t>
  </si>
  <si>
    <t>Celkové zdroje žadatele</t>
  </si>
  <si>
    <t>Národní zdroje</t>
  </si>
  <si>
    <t>Úvěr (poskytnutý státní správou)</t>
  </si>
  <si>
    <t>Zdroje státního rozpočtu</t>
  </si>
  <si>
    <t>Granty EU</t>
  </si>
  <si>
    <t>Celkové finanční zdroje</t>
  </si>
  <si>
    <t>Udržitelnost projektu (CZK)</t>
  </si>
  <si>
    <t>Úvěry</t>
  </si>
  <si>
    <t>Dotace</t>
  </si>
  <si>
    <t>Celkové příjmy</t>
  </si>
  <si>
    <t>Celkové výdaje</t>
  </si>
  <si>
    <t>Cash Flow pro příslušný rok</t>
  </si>
  <si>
    <t xml:space="preserve">Kumulované Cash Flow </t>
  </si>
  <si>
    <t>Splácení jistiny úvěru</t>
  </si>
  <si>
    <t>Splácení úroků z úvěru</t>
  </si>
  <si>
    <t>kapitálu - FRR/K (CZK)</t>
  </si>
  <si>
    <t>příspěvky žadatele + národní zdroje</t>
  </si>
  <si>
    <t>Finanční vniřní výnosové procento kapitálu FRR/K*</t>
  </si>
  <si>
    <t>Finanční čistá současná hodnota kapitálu FNPV/K (CZK)</t>
  </si>
  <si>
    <t>Finanční čistá současná hodnota kapitálu FNPV/K (EUR)</t>
  </si>
  <si>
    <t>Tabulka H.1</t>
  </si>
  <si>
    <t>Mezera ve financování</t>
  </si>
  <si>
    <t>Přírůstek cash-flow</t>
  </si>
  <si>
    <t>Přírůstek cash-flow (CZK)</t>
  </si>
  <si>
    <t>V konstantních cenách*</t>
  </si>
  <si>
    <t>V běžných cenách**</t>
  </si>
  <si>
    <t>Kalkulace veřejného příspěvku (CZK) - běžné ceny (Tabulka H 2.1)</t>
  </si>
  <si>
    <t>Granty EU (Tabulka H.3)</t>
  </si>
  <si>
    <t>(konstantní ceny)</t>
  </si>
  <si>
    <t>(běžné ceny)</t>
  </si>
  <si>
    <t>Celkové investiční náklady včetně DPH (konstantní ceny)</t>
  </si>
  <si>
    <t>Celkové investiční náklady (běžné ceny)</t>
  </si>
  <si>
    <t>Celkové investiční náklady vč. DPH (běžné ceny)</t>
  </si>
  <si>
    <t>Konstantní ceny</t>
  </si>
  <si>
    <t>Běžné ceny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</si>
  <si>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</si>
  <si>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</si>
  <si>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</si>
  <si>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</si>
  <si>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Celkové provozní příjmy (CZK)</t>
  </si>
  <si>
    <t>Ostatní příjmy</t>
  </si>
  <si>
    <t>Celkové přírůstkové provozní příjmy (CZK)</t>
  </si>
  <si>
    <t>Příjmy z poplatků za dopravní cestu</t>
  </si>
  <si>
    <t>Příjmy z poplatků za dopravní cestu*</t>
  </si>
  <si>
    <t>Celkové přírůstkové provozní příjmy</t>
  </si>
  <si>
    <t>Celkové invest. náklady bez rezervy</t>
  </si>
  <si>
    <t>Zůstatková hodnota (záporná)</t>
  </si>
  <si>
    <t>Čisté provozní příjmy</t>
  </si>
  <si>
    <t>Přírůstkové celkové provozní příjmy**</t>
  </si>
  <si>
    <t>Míra finanční mezery ((DIC bez rezervy- čisté příjmy)/DIC bez rezervy)</t>
  </si>
  <si>
    <t>Příspěvek Společenství</t>
  </si>
  <si>
    <t xml:space="preserve">Celkové finanční zdroje (bez rezervy) </t>
  </si>
  <si>
    <t>Provozní příjmy</t>
  </si>
  <si>
    <t>Přírůstek celkových provozních příjmů</t>
  </si>
  <si>
    <t>* pokud se zobrazí "CHYBA", zkonrolujte list 8 Finanční struktura</t>
  </si>
  <si>
    <t>Hodnota odpisu</t>
  </si>
  <si>
    <t>Odpis</t>
  </si>
  <si>
    <t xml:space="preserve">Poplatek za provozování dopravní cesty </t>
  </si>
  <si>
    <t>Kč/vlkm</t>
  </si>
  <si>
    <t xml:space="preserve">Poplatek za zajištění provozuschopnosti dopr. cesty </t>
  </si>
  <si>
    <t>4.4.</t>
  </si>
  <si>
    <t>4.5.</t>
  </si>
  <si>
    <t>Celkové výkony</t>
  </si>
  <si>
    <t>Celkem (diskontované)</t>
  </si>
  <si>
    <t>Úspora provozních nákladů*</t>
  </si>
  <si>
    <t>4.6.</t>
  </si>
  <si>
    <t>Zpracovatel uvede konkrétní hodnoty výstupů z dopravního prognózování použité při výpočtu příjmů z poplatku za dopravní cestu. Tabulky 4.5. a 4.6. je možné přizpůsobit konkrétnímu projektu.</t>
  </si>
  <si>
    <t>BEZ PROJEKTU</t>
  </si>
  <si>
    <t>S PROJEKTEM</t>
  </si>
  <si>
    <t>Hodnocené scénáře</t>
  </si>
  <si>
    <t>Rezerva - vlastní zdroje</t>
  </si>
  <si>
    <t>Rezerva - EU granty</t>
  </si>
  <si>
    <t>Rezerva celkem</t>
  </si>
  <si>
    <t>CÚ</t>
  </si>
  <si>
    <t>Zdroje financování investičních nákladů (CZK)</t>
  </si>
  <si>
    <t>Doba hodnocení</t>
  </si>
  <si>
    <t>3.7.</t>
  </si>
  <si>
    <t>Měrné ohodnocení</t>
  </si>
  <si>
    <t>CZK/rok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</si>
  <si>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</si>
  <si>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</si>
  <si>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</si>
  <si>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</si>
  <si>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</si>
  <si>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</si>
  <si>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</si>
  <si>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</si>
  <si>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</si>
  <si>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</si>
  <si>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</si>
  <si>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</si>
  <si>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Elasticita</t>
  </si>
  <si>
    <t>3.4.</t>
  </si>
  <si>
    <t>3.5.</t>
  </si>
  <si>
    <t>3.6.</t>
  </si>
  <si>
    <t>Investiční náklady (DIC) (z FA)</t>
  </si>
  <si>
    <t>Růst reálné mzdy v dopravě</t>
  </si>
  <si>
    <t>Periodické provozní náklady / opravy</t>
  </si>
  <si>
    <t>6.2.</t>
  </si>
  <si>
    <t>Technická asistence, propagace</t>
  </si>
  <si>
    <t>Technický dozor</t>
  </si>
  <si>
    <t>Silnoproudé rozvody a zařízení</t>
  </si>
  <si>
    <t>Mosty, propustky, tunely, komunikace a zpevněné plochy</t>
  </si>
  <si>
    <t>Pozemní stavby, nástupiště a přístřešky</t>
  </si>
  <si>
    <t>Objekty ochrany životního prostředí</t>
  </si>
  <si>
    <t>Pozemky</t>
  </si>
  <si>
    <t>Životnost silnoproudých rozvodů a zařízení (roky)</t>
  </si>
  <si>
    <t>Životnost silnoproudých rozvodů a zařízení po uplynutí hodnotícího období</t>
  </si>
  <si>
    <t>Životnost mostů, propustků, tunelů, komunikací (roky)</t>
  </si>
  <si>
    <t>Životnost inženýrských sítí (trubní vedení, kabelovody)(roky)</t>
  </si>
  <si>
    <t>Životnost inženýrských sítí (trubní vedení, kabelovody)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</si>
  <si>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</si>
  <si>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</si>
  <si>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</si>
  <si>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</si>
  <si>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Index cen stavebních prací</t>
  </si>
  <si>
    <t>Modernizace trati …</t>
  </si>
  <si>
    <t>Počty zaměstnanců</t>
  </si>
  <si>
    <t>TEN-T</t>
  </si>
  <si>
    <t>celostátní</t>
  </si>
  <si>
    <t>regionální</t>
  </si>
  <si>
    <t>Osobní</t>
  </si>
  <si>
    <t>Nákladní</t>
  </si>
  <si>
    <t>S1E</t>
  </si>
  <si>
    <t>S1C</t>
  </si>
  <si>
    <t>S1R</t>
  </si>
  <si>
    <t>S2E</t>
  </si>
  <si>
    <t>S2C</t>
  </si>
  <si>
    <t>S2R</t>
  </si>
  <si>
    <t>vlkm - osobní doprava - dráhy TEN-T</t>
  </si>
  <si>
    <t>vlkm - osobní doprava - celostátní</t>
  </si>
  <si>
    <t>vlkm - osobní doprava - regionální</t>
  </si>
  <si>
    <t>hrtkm - osobní doprava - dráhy TEN-T</t>
  </si>
  <si>
    <t>hrtkm - osobní doprava - celostátní</t>
  </si>
  <si>
    <t>hrtkm - osobní doprava - regionální</t>
  </si>
  <si>
    <t>vlkm - nákladní doprava - dráhy TEN-T</t>
  </si>
  <si>
    <t>vlkm - nákladní doprava - celostátní</t>
  </si>
  <si>
    <t>vlkm - nákladní doprava - regionální</t>
  </si>
  <si>
    <t>hrtkm - nákladní doprava - dráhy TEN-T</t>
  </si>
  <si>
    <t>hrtkm - nákladní doprava - celostátní</t>
  </si>
  <si>
    <t>hrtkm - nákladní doprava - regionální</t>
  </si>
  <si>
    <t>Hrubá mzda</t>
  </si>
  <si>
    <t>Odpisové období</t>
  </si>
  <si>
    <t>Růst reálných mezd</t>
  </si>
  <si>
    <t>inflace</t>
  </si>
  <si>
    <t>růst mezd</t>
  </si>
  <si>
    <t>Dělník v dopravě - staniční dělník</t>
  </si>
  <si>
    <t>Celk. náklady</t>
  </si>
  <si>
    <t>Růst nákladů na řízení provozu</t>
  </si>
  <si>
    <t>Odstupné</t>
  </si>
  <si>
    <t>Pro vyčíslení provozních nákladů na řízení dopravy se využije přednastavených vzorců v tabulkách 3.1, 3.2 a 3.5. Zpracovatel vyplňuje pouze tabulky 3.6 a 3.7 a ověřuje správnost výpočtu odstupného.</t>
  </si>
  <si>
    <t>V tabulkách 3.1 a 3.2 zpracovatel přímo dopočítává a vyplňuje pouze provozní náklady na údržbu a opravy infrastruktury.</t>
  </si>
  <si>
    <t>Příjmy z poplatků za dopravní cestu - osobní doprava</t>
  </si>
  <si>
    <t>Příjmy z poplatků za dopravní cestu - nákladní doprava</t>
  </si>
  <si>
    <t>Kč/1000 hrtkm</t>
  </si>
  <si>
    <t>Diskont. zůstatková hodnota investic pro FA</t>
  </si>
  <si>
    <t>Diskontovaná zůstatková hodnota investic v EUR</t>
  </si>
  <si>
    <t>Provozní dotace</t>
  </si>
  <si>
    <t>Čistá úspora provozních nákladů**</t>
  </si>
  <si>
    <t>6.3.</t>
  </si>
  <si>
    <t>7.2.</t>
  </si>
  <si>
    <t>*** jedná se o procentuální odhad oprávněných nákladů ve stálých cenách, který vychází ze skutečného poměru oprávněných a neoprávněných nákladů v běžných cenách z tabulky H.1 (list "1 Celkové investiční náklady" tabulka 1.2 a)</t>
  </si>
  <si>
    <t>Oprávněné náklady***</t>
  </si>
  <si>
    <t>6.1., 6.2., 6.3</t>
  </si>
  <si>
    <t>Fin. analýza (FRR_C)</t>
  </si>
  <si>
    <t>Nákup pozemků</t>
  </si>
  <si>
    <t>Zábory a nákupy pozemků</t>
  </si>
  <si>
    <t>Poplatky za plány/stavební projekt</t>
  </si>
  <si>
    <t>Výstavba</t>
  </si>
  <si>
    <t>Nepředvídatelné události</t>
  </si>
  <si>
    <t>Případná úprava ceny</t>
  </si>
  <si>
    <t>Technická pomoc</t>
  </si>
  <si>
    <t>Dozor v průběhu výstavby</t>
  </si>
  <si>
    <t>Stavby a konstrukce (stavební náklady)</t>
  </si>
  <si>
    <t>HDP na hlavu</t>
  </si>
  <si>
    <t>zdroj: Prováděcí pokyny pro hodnocení efektivnosti investic železničních staveb (č. 26/2013-910-IZD/3), MD 2013 - příloha A.2; ČSÚ; ČNB (Zpráva o inflaci 1/2014)</t>
  </si>
  <si>
    <t>2015***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</si>
  <si>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</si>
  <si>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</si>
  <si>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</si>
  <si>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aktualizovány hodnoty inflace, HDP a růstu mezd</t>
  </si>
  <si>
    <t>- odstraněn zámek z buňky E26 v listu "5 Finanční analýza (FRR_C)" z důvodu zajištění možnosti nastavení odhadu IRR při výpočtu uživatelem v případě potřeby</t>
  </si>
  <si>
    <t>- odstraněn zámek z buňky E26 v listu "10 FRR_K" z důvodu zajištění možnosti nastavení odhadu IRR při výpočtu uživatelem v případě potřeby</t>
  </si>
  <si>
    <t xml:space="preserve">Zdroj: „Příloha D_2014“ - „Maximální ceny a určené podmínky za použití vnitrostátní železniční dopravní cesty celostátních a regionálních drah při provozování drážní dopravy“ a „Prohlášení o dráze celostátní a regionální platné pro jízdní řád 2014“. </t>
  </si>
  <si>
    <t>- aktualizovány měrné hodnoty poplatků za použití dopravní cesty (tabulka 4.4 v listu "4 Tržby")</t>
  </si>
  <si>
    <t>- opravena kontrolní podmínka v buňce C55 v listu "2 Zůstatková hodnota"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</si>
  <si>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</si>
  <si>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</si>
  <si>
    <t>zdroj: aktuálně platné opatření SFDI (č.j. 2399/SFDI/2279/5375/2014)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</si>
</sst>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€&quot;;[Red]\-#,##0&quot;€&quot;"/>
    <numFmt numFmtId="165" formatCode="_-* #,##0.00\ _S_k_-;\-* #,##0.00\ _S_k_-;_-* &quot;-&quot;??\ _S_k_-;_-@_-"/>
    <numFmt numFmtId="166" formatCode="0.0"/>
    <numFmt numFmtId="167" formatCode="0.0%"/>
    <numFmt numFmtId="168" formatCode="#,##0.0"/>
    <numFmt numFmtId="169" formatCode="0.000"/>
    <numFmt numFmtId="170" formatCode="#,##0.00\ _€"/>
    <numFmt numFmtId="171" formatCode="0.0000"/>
    <numFmt numFmtId="172" formatCode="#,##0\ _€"/>
    <numFmt numFmtId="173" formatCode="0.000%"/>
    <numFmt numFmtId="174" formatCode="#,##0.000"/>
    <numFmt numFmtId="175" formatCode="\P\L\ 0"/>
    <numFmt numFmtId="176" formatCode="\V\A\T\ 0.0,%"/>
    <numFmt numFmtId="177" formatCode="#,##0.0000000000000000000\ _€"/>
    <numFmt numFmtId="178" formatCode="\C\Ú\ 0"/>
    <numFmt numFmtId="179" formatCode="&quot;DPH&quot;\ 0.0,%"/>
  </numFmts>
  <fonts count="60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name val="Arial CE"/>
      <family val="0"/>
    </font>
    <font>
      <i/>
      <sz val="10"/>
      <name val="Arial CE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/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10" borderId="0" applyNumberFormat="0" applyBorder="0" applyAlignment="0" applyProtection="0"/>
    <xf numFmtId="0" fontId="59" fillId="3" borderId="0" applyNumberFormat="0" applyBorder="0" applyAlignment="0" applyProtection="0"/>
    <xf numFmtId="3" fontId="2" fillId="0" borderId="1" applyFont="0" applyFill="0" applyBorder="0" applyAlignment="0" applyProtection="0"/>
    <xf numFmtId="0" fontId="58" fillId="0" borderId="2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55" fillId="1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48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51" fillId="3" borderId="9" applyNumberFormat="0" applyAlignment="0" applyProtection="0"/>
    <xf numFmtId="0" fontId="53" fillId="2" borderId="9" applyNumberFormat="0" applyAlignment="0" applyProtection="0"/>
    <xf numFmtId="0" fontId="52" fillId="2" borderId="10" applyNumberFormat="0" applyAlignment="0" applyProtection="0"/>
    <xf numFmtId="0" fontId="57" fillId="0" borderId="0" applyNumberFormat="0" applyFill="0" applyBorder="0" applyAlignment="0" applyProtection="0"/>
    <xf numFmtId="3" fontId="2" fillId="0" borderId="0" applyFill="0" applyBorder="0" applyAlignment="0" applyProtection="0"/>
    <xf numFmtId="0" fontId="59" fillId="10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</cellStyleXfs>
  <cellXfs count="1049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3" fontId="3" fillId="8" borderId="0" xfId="54" applyNumberFormat="1" applyFont="1" applyFill="1" applyBorder="1" applyAlignment="1" applyProtection="1">
      <alignment/>
      <protection locked="0"/>
    </xf>
    <xf numFmtId="3" fontId="3" fillId="8" borderId="13" xfId="54" applyNumberFormat="1" applyFont="1" applyFill="1" applyBorder="1" applyAlignment="1" applyProtection="1">
      <alignment/>
      <protection locked="0"/>
    </xf>
    <xf numFmtId="169" fontId="3" fillId="8" borderId="1" xfId="54" applyNumberFormat="1" applyFont="1" applyFill="1" applyBorder="1" applyAlignment="1" applyProtection="1">
      <alignment/>
      <protection locked="0"/>
    </xf>
    <xf numFmtId="169" fontId="3" fillId="8" borderId="0" xfId="54" applyNumberFormat="1" applyFont="1" applyFill="1" applyBorder="1" applyAlignment="1" applyProtection="1">
      <alignment/>
      <protection locked="0"/>
    </xf>
    <xf numFmtId="169" fontId="3" fillId="8" borderId="11" xfId="54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6" fillId="8" borderId="14" xfId="0" applyFont="1" applyFill="1" applyBorder="1" applyAlignment="1" applyProtection="1">
      <alignment horizontal="center"/>
      <protection locked="0"/>
    </xf>
    <xf numFmtId="167" fontId="16" fillId="8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6" borderId="15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11" fillId="6" borderId="18" xfId="0" applyFont="1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6" borderId="0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 vertical="center"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13" xfId="0" applyFill="1" applyBorder="1" applyAlignment="1" applyProtection="1">
      <alignment/>
      <protection/>
    </xf>
    <xf numFmtId="0" fontId="34" fillId="6" borderId="0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right"/>
      <protection/>
    </xf>
    <xf numFmtId="0" fontId="16" fillId="6" borderId="0" xfId="0" applyFont="1" applyFill="1" applyBorder="1" applyAlignment="1" applyProtection="1">
      <alignment horizontal="center"/>
      <protection/>
    </xf>
    <xf numFmtId="167" fontId="34" fillId="6" borderId="0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0" xfId="0" applyFill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29" fillId="6" borderId="0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/>
      <protection/>
    </xf>
    <xf numFmtId="0" fontId="27" fillId="6" borderId="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0" fontId="0" fillId="0" borderId="31" xfId="78" applyNumberFormat="1" applyFont="1" applyFill="1" applyBorder="1" applyAlignment="1" applyProtection="1">
      <alignment horizontal="center"/>
      <protection/>
    </xf>
    <xf numFmtId="10" fontId="0" fillId="0" borderId="32" xfId="78" applyNumberFormat="1" applyFont="1" applyFill="1" applyBorder="1" applyAlignment="1" applyProtection="1">
      <alignment horizontal="center"/>
      <protection/>
    </xf>
    <xf numFmtId="10" fontId="0" fillId="6" borderId="11" xfId="78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 locked="0"/>
    </xf>
    <xf numFmtId="0" fontId="27" fillId="6" borderId="12" xfId="0" applyFont="1" applyFill="1" applyBorder="1" applyAlignment="1" applyProtection="1">
      <alignment/>
      <protection/>
    </xf>
    <xf numFmtId="0" fontId="27" fillId="6" borderId="13" xfId="0" applyFont="1" applyFill="1" applyBorder="1" applyAlignment="1" applyProtection="1">
      <alignment/>
      <protection/>
    </xf>
    <xf numFmtId="0" fontId="27" fillId="6" borderId="19" xfId="0" applyFont="1" applyFill="1" applyBorder="1" applyAlignment="1" applyProtection="1">
      <alignment/>
      <protection/>
    </xf>
    <xf numFmtId="10" fontId="0" fillId="6" borderId="11" xfId="82" applyNumberFormat="1" applyFont="1" applyFill="1" applyBorder="1" applyAlignment="1" applyProtection="1">
      <alignment horizontal="center"/>
      <protection/>
    </xf>
    <xf numFmtId="0" fontId="26" fillId="6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6" borderId="16" xfId="0" applyFont="1" applyFill="1" applyBorder="1" applyAlignment="1" applyProtection="1">
      <alignment horizontal="center"/>
      <protection/>
    </xf>
    <xf numFmtId="0" fontId="11" fillId="6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3" fontId="13" fillId="8" borderId="15" xfId="0" applyNumberFormat="1" applyFont="1" applyFill="1" applyBorder="1" applyAlignment="1" applyProtection="1">
      <alignment/>
      <protection locked="0"/>
    </xf>
    <xf numFmtId="3" fontId="13" fillId="8" borderId="16" xfId="0" applyNumberFormat="1" applyFont="1" applyFill="1" applyBorder="1" applyAlignment="1" applyProtection="1">
      <alignment/>
      <protection locked="0"/>
    </xf>
    <xf numFmtId="3" fontId="13" fillId="8" borderId="17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68" fontId="13" fillId="0" borderId="0" xfId="0" applyNumberFormat="1" applyFont="1" applyBorder="1" applyAlignment="1" applyProtection="1">
      <alignment horizontal="right"/>
      <protection locked="0"/>
    </xf>
    <xf numFmtId="3" fontId="13" fillId="0" borderId="33" xfId="0" applyNumberFormat="1" applyFont="1" applyBorder="1" applyAlignment="1" applyProtection="1">
      <alignment horizontal="right"/>
      <protection locked="0"/>
    </xf>
    <xf numFmtId="3" fontId="13" fillId="8" borderId="1" xfId="0" applyNumberFormat="1" applyFont="1" applyFill="1" applyBorder="1" applyAlignment="1" applyProtection="1">
      <alignment/>
      <protection locked="0"/>
    </xf>
    <xf numFmtId="3" fontId="13" fillId="8" borderId="0" xfId="0" applyNumberFormat="1" applyFont="1" applyFill="1" applyBorder="1" applyAlignment="1" applyProtection="1">
      <alignment/>
      <protection locked="0"/>
    </xf>
    <xf numFmtId="3" fontId="13" fillId="8" borderId="11" xfId="0" applyNumberFormat="1" applyFont="1" applyFill="1" applyBorder="1" applyAlignment="1" applyProtection="1">
      <alignment/>
      <protection locked="0"/>
    </xf>
    <xf numFmtId="3" fontId="13" fillId="8" borderId="34" xfId="0" applyNumberFormat="1" applyFont="1" applyFill="1" applyBorder="1" applyAlignment="1" applyProtection="1">
      <alignment/>
      <protection locked="0"/>
    </xf>
    <xf numFmtId="3" fontId="13" fillId="8" borderId="18" xfId="0" applyNumberFormat="1" applyFont="1" applyFill="1" applyBorder="1" applyAlignment="1" applyProtection="1">
      <alignment/>
      <protection locked="0"/>
    </xf>
    <xf numFmtId="3" fontId="13" fillId="8" borderId="35" xfId="0" applyNumberFormat="1" applyFont="1" applyFill="1" applyBorder="1" applyAlignment="1" applyProtection="1">
      <alignment/>
      <protection locked="0"/>
    </xf>
    <xf numFmtId="176" fontId="13" fillId="0" borderId="1" xfId="0" applyNumberFormat="1" applyFont="1" applyBorder="1" applyAlignment="1" applyProtection="1">
      <alignment horizontal="left"/>
      <protection locked="0"/>
    </xf>
    <xf numFmtId="179" fontId="13" fillId="0" borderId="0" xfId="0" applyNumberFormat="1" applyFont="1" applyBorder="1" applyAlignment="1" applyProtection="1">
      <alignment horizontal="left"/>
      <protection locked="0"/>
    </xf>
    <xf numFmtId="168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36" fillId="0" borderId="36" xfId="0" applyFont="1" applyBorder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/>
      <protection locked="0"/>
    </xf>
    <xf numFmtId="176" fontId="13" fillId="0" borderId="12" xfId="0" applyNumberFormat="1" applyFont="1" applyBorder="1" applyAlignment="1" applyProtection="1">
      <alignment horizontal="left"/>
      <protection locked="0"/>
    </xf>
    <xf numFmtId="179" fontId="13" fillId="0" borderId="13" xfId="0" applyNumberFormat="1" applyFont="1" applyBorder="1" applyAlignment="1" applyProtection="1">
      <alignment horizontal="left"/>
      <protection locked="0"/>
    </xf>
    <xf numFmtId="168" fontId="13" fillId="0" borderId="13" xfId="0" applyNumberFormat="1" applyFont="1" applyFill="1" applyBorder="1" applyAlignment="1" applyProtection="1">
      <alignment horizontal="right"/>
      <protection locked="0"/>
    </xf>
    <xf numFmtId="168" fontId="13" fillId="0" borderId="13" xfId="0" applyNumberFormat="1" applyFont="1" applyBorder="1" applyAlignment="1" applyProtection="1">
      <alignment horizontal="right"/>
      <protection locked="0"/>
    </xf>
    <xf numFmtId="168" fontId="13" fillId="0" borderId="19" xfId="0" applyNumberFormat="1" applyFont="1" applyFill="1" applyBorder="1" applyAlignment="1" applyProtection="1">
      <alignment horizontal="right"/>
      <protection locked="0"/>
    </xf>
    <xf numFmtId="3" fontId="13" fillId="0" borderId="12" xfId="0" applyNumberFormat="1" applyFont="1" applyFill="1" applyBorder="1" applyAlignment="1" applyProtection="1">
      <alignment/>
      <protection locked="0"/>
    </xf>
    <xf numFmtId="3" fontId="13" fillId="0" borderId="13" xfId="0" applyNumberFormat="1" applyFont="1" applyFill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/>
      <protection locked="0"/>
    </xf>
    <xf numFmtId="3" fontId="13" fillId="8" borderId="37" xfId="0" applyNumberFormat="1" applyFont="1" applyFill="1" applyBorder="1" applyAlignment="1" applyProtection="1">
      <alignment horizontal="right"/>
      <protection locked="0"/>
    </xf>
    <xf numFmtId="3" fontId="13" fillId="8" borderId="38" xfId="0" applyNumberFormat="1" applyFont="1" applyFill="1" applyBorder="1" applyAlignment="1" applyProtection="1">
      <alignment horizontal="right"/>
      <protection locked="0"/>
    </xf>
    <xf numFmtId="3" fontId="13" fillId="8" borderId="24" xfId="0" applyNumberFormat="1" applyFont="1" applyFill="1" applyBorder="1" applyAlignment="1" applyProtection="1">
      <alignment horizontal="right"/>
      <protection locked="0"/>
    </xf>
    <xf numFmtId="168" fontId="1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9" borderId="39" xfId="0" applyFont="1" applyFill="1" applyBorder="1" applyAlignment="1" applyProtection="1">
      <alignment horizontal="center"/>
      <protection/>
    </xf>
    <xf numFmtId="0" fontId="12" fillId="9" borderId="40" xfId="0" applyFont="1" applyFill="1" applyBorder="1" applyAlignment="1" applyProtection="1">
      <alignment horizontal="left"/>
      <protection/>
    </xf>
    <xf numFmtId="0" fontId="12" fillId="9" borderId="41" xfId="0" applyFont="1" applyFill="1" applyBorder="1" applyAlignment="1" applyProtection="1">
      <alignment horizontal="left"/>
      <protection/>
    </xf>
    <xf numFmtId="0" fontId="12" fillId="9" borderId="32" xfId="0" applyFont="1" applyFill="1" applyBorder="1" applyAlignment="1" applyProtection="1">
      <alignment horizontal="center"/>
      <protection/>
    </xf>
    <xf numFmtId="0" fontId="13" fillId="9" borderId="0" xfId="0" applyFont="1" applyFill="1" applyBorder="1" applyAlignment="1" applyProtection="1">
      <alignment/>
      <protection/>
    </xf>
    <xf numFmtId="175" fontId="18" fillId="9" borderId="1" xfId="0" applyNumberFormat="1" applyFont="1" applyFill="1" applyBorder="1" applyAlignment="1" applyProtection="1">
      <alignment horizontal="left"/>
      <protection/>
    </xf>
    <xf numFmtId="178" fontId="18" fillId="9" borderId="0" xfId="0" applyNumberFormat="1" applyFont="1" applyFill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168" fontId="13" fillId="0" borderId="16" xfId="0" applyNumberFormat="1" applyFont="1" applyBorder="1" applyAlignment="1" applyProtection="1">
      <alignment horizontal="right"/>
      <protection/>
    </xf>
    <xf numFmtId="3" fontId="13" fillId="0" borderId="42" xfId="0" applyNumberFormat="1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/>
    </xf>
    <xf numFmtId="3" fontId="13" fillId="0" borderId="33" xfId="0" applyNumberFormat="1" applyFont="1" applyBorder="1" applyAlignment="1" applyProtection="1">
      <alignment horizontal="right"/>
      <protection/>
    </xf>
    <xf numFmtId="0" fontId="13" fillId="0" borderId="34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168" fontId="13" fillId="0" borderId="18" xfId="0" applyNumberFormat="1" applyFont="1" applyBorder="1" applyAlignment="1" applyProtection="1">
      <alignment horizontal="right"/>
      <protection/>
    </xf>
    <xf numFmtId="0" fontId="14" fillId="17" borderId="43" xfId="0" applyFont="1" applyFill="1" applyBorder="1" applyAlignment="1" applyProtection="1">
      <alignment/>
      <protection/>
    </xf>
    <xf numFmtId="0" fontId="14" fillId="17" borderId="44" xfId="0" applyFont="1" applyFill="1" applyBorder="1" applyAlignment="1" applyProtection="1">
      <alignment/>
      <protection/>
    </xf>
    <xf numFmtId="168" fontId="14" fillId="17" borderId="44" xfId="0" applyNumberFormat="1" applyFont="1" applyFill="1" applyBorder="1" applyAlignment="1" applyProtection="1">
      <alignment horizontal="right"/>
      <protection/>
    </xf>
    <xf numFmtId="3" fontId="14" fillId="17" borderId="45" xfId="0" applyNumberFormat="1" applyFont="1" applyFill="1" applyBorder="1" applyAlignment="1" applyProtection="1">
      <alignment horizontal="right"/>
      <protection/>
    </xf>
    <xf numFmtId="3" fontId="13" fillId="0" borderId="25" xfId="0" applyNumberFormat="1" applyFont="1" applyBorder="1" applyAlignment="1" applyProtection="1">
      <alignment horizontal="right"/>
      <protection/>
    </xf>
    <xf numFmtId="0" fontId="14" fillId="9" borderId="16" xfId="0" applyFont="1" applyFill="1" applyBorder="1" applyAlignment="1" applyProtection="1">
      <alignment horizontal="center"/>
      <protection/>
    </xf>
    <xf numFmtId="0" fontId="12" fillId="9" borderId="16" xfId="0" applyFont="1" applyFill="1" applyBorder="1" applyAlignment="1" applyProtection="1">
      <alignment horizontal="center"/>
      <protection/>
    </xf>
    <xf numFmtId="0" fontId="12" fillId="9" borderId="17" xfId="0" applyFont="1" applyFill="1" applyBorder="1" applyAlignment="1" applyProtection="1">
      <alignment horizontal="center"/>
      <protection/>
    </xf>
    <xf numFmtId="0" fontId="18" fillId="9" borderId="0" xfId="0" applyFont="1" applyFill="1" applyBorder="1" applyAlignment="1" applyProtection="1">
      <alignment horizontal="center"/>
      <protection/>
    </xf>
    <xf numFmtId="0" fontId="14" fillId="9" borderId="0" xfId="0" applyFont="1" applyFill="1" applyBorder="1" applyAlignment="1" applyProtection="1">
      <alignment horizontal="center"/>
      <protection/>
    </xf>
    <xf numFmtId="0" fontId="14" fillId="9" borderId="11" xfId="0" applyFont="1" applyFill="1" applyBorder="1" applyAlignment="1" applyProtection="1">
      <alignment horizontal="center"/>
      <protection/>
    </xf>
    <xf numFmtId="0" fontId="13" fillId="9" borderId="0" xfId="0" applyFont="1" applyFill="1" applyBorder="1" applyAlignment="1" applyProtection="1">
      <alignment horizontal="center"/>
      <protection/>
    </xf>
    <xf numFmtId="0" fontId="13" fillId="9" borderId="11" xfId="0" applyFont="1" applyFill="1" applyBorder="1" applyAlignment="1" applyProtection="1">
      <alignment horizontal="center"/>
      <protection/>
    </xf>
    <xf numFmtId="3" fontId="14" fillId="17" borderId="43" xfId="0" applyNumberFormat="1" applyFont="1" applyFill="1" applyBorder="1" applyAlignment="1" applyProtection="1">
      <alignment/>
      <protection/>
    </xf>
    <xf numFmtId="3" fontId="14" fillId="17" borderId="44" xfId="0" applyNumberFormat="1" applyFont="1" applyFill="1" applyBorder="1" applyAlignment="1" applyProtection="1">
      <alignment/>
      <protection/>
    </xf>
    <xf numFmtId="3" fontId="14" fillId="17" borderId="46" xfId="0" applyNumberFormat="1" applyFont="1" applyFill="1" applyBorder="1" applyAlignment="1" applyProtection="1">
      <alignment/>
      <protection/>
    </xf>
    <xf numFmtId="0" fontId="14" fillId="17" borderId="47" xfId="0" applyFont="1" applyFill="1" applyBorder="1" applyAlignment="1" applyProtection="1">
      <alignment/>
      <protection/>
    </xf>
    <xf numFmtId="0" fontId="14" fillId="17" borderId="48" xfId="0" applyFont="1" applyFill="1" applyBorder="1" applyAlignment="1" applyProtection="1">
      <alignment/>
      <protection/>
    </xf>
    <xf numFmtId="168" fontId="14" fillId="17" borderId="48" xfId="0" applyNumberFormat="1" applyFont="1" applyFill="1" applyBorder="1" applyAlignment="1" applyProtection="1">
      <alignment horizontal="right"/>
      <protection/>
    </xf>
    <xf numFmtId="3" fontId="14" fillId="17" borderId="22" xfId="0" applyNumberFormat="1" applyFont="1" applyFill="1" applyBorder="1" applyAlignment="1" applyProtection="1">
      <alignment horizontal="right"/>
      <protection/>
    </xf>
    <xf numFmtId="3" fontId="14" fillId="17" borderId="47" xfId="0" applyNumberFormat="1" applyFont="1" applyFill="1" applyBorder="1" applyAlignment="1" applyProtection="1">
      <alignment/>
      <protection/>
    </xf>
    <xf numFmtId="3" fontId="14" fillId="17" borderId="48" xfId="0" applyNumberFormat="1" applyFont="1" applyFill="1" applyBorder="1" applyAlignment="1" applyProtection="1">
      <alignment/>
      <protection/>
    </xf>
    <xf numFmtId="3" fontId="14" fillId="17" borderId="49" xfId="0" applyNumberFormat="1" applyFont="1" applyFill="1" applyBorder="1" applyAlignment="1" applyProtection="1">
      <alignment/>
      <protection/>
    </xf>
    <xf numFmtId="0" fontId="13" fillId="9" borderId="13" xfId="0" applyFont="1" applyFill="1" applyBorder="1" applyAlignment="1" applyProtection="1">
      <alignment horizontal="center"/>
      <protection/>
    </xf>
    <xf numFmtId="0" fontId="13" fillId="9" borderId="19" xfId="0" applyFont="1" applyFill="1" applyBorder="1" applyAlignment="1" applyProtection="1">
      <alignment horizontal="center"/>
      <protection/>
    </xf>
    <xf numFmtId="168" fontId="13" fillId="0" borderId="17" xfId="0" applyNumberFormat="1" applyFont="1" applyBorder="1" applyAlignment="1" applyProtection="1">
      <alignment horizontal="right"/>
      <protection/>
    </xf>
    <xf numFmtId="168" fontId="13" fillId="0" borderId="11" xfId="0" applyNumberFormat="1" applyFont="1" applyBorder="1" applyAlignment="1" applyProtection="1">
      <alignment horizontal="right"/>
      <protection/>
    </xf>
    <xf numFmtId="168" fontId="13" fillId="0" borderId="35" xfId="0" applyNumberFormat="1" applyFont="1" applyBorder="1" applyAlignment="1" applyProtection="1">
      <alignment horizontal="right"/>
      <protection/>
    </xf>
    <xf numFmtId="168" fontId="14" fillId="17" borderId="46" xfId="0" applyNumberFormat="1" applyFont="1" applyFill="1" applyBorder="1" applyAlignment="1" applyProtection="1">
      <alignment horizontal="right"/>
      <protection/>
    </xf>
    <xf numFmtId="0" fontId="14" fillId="17" borderId="12" xfId="0" applyFont="1" applyFill="1" applyBorder="1" applyAlignment="1" applyProtection="1">
      <alignment/>
      <protection/>
    </xf>
    <xf numFmtId="0" fontId="14" fillId="17" borderId="13" xfId="0" applyFont="1" applyFill="1" applyBorder="1" applyAlignment="1" applyProtection="1">
      <alignment/>
      <protection/>
    </xf>
    <xf numFmtId="168" fontId="14" fillId="17" borderId="13" xfId="0" applyNumberFormat="1" applyFont="1" applyFill="1" applyBorder="1" applyAlignment="1" applyProtection="1">
      <alignment horizontal="right"/>
      <protection/>
    </xf>
    <xf numFmtId="168" fontId="14" fillId="17" borderId="19" xfId="0" applyNumberFormat="1" applyFont="1" applyFill="1" applyBorder="1" applyAlignment="1" applyProtection="1">
      <alignment horizontal="right"/>
      <protection/>
    </xf>
    <xf numFmtId="175" fontId="18" fillId="9" borderId="0" xfId="0" applyNumberFormat="1" applyFont="1" applyFill="1" applyBorder="1" applyAlignment="1" applyProtection="1">
      <alignment horizontal="left"/>
      <protection/>
    </xf>
    <xf numFmtId="3" fontId="13" fillId="0" borderId="37" xfId="0" applyNumberFormat="1" applyFont="1" applyBorder="1" applyAlignment="1" applyProtection="1">
      <alignment horizontal="right"/>
      <protection/>
    </xf>
    <xf numFmtId="3" fontId="13" fillId="0" borderId="38" xfId="0" applyNumberFormat="1" applyFont="1" applyBorder="1" applyAlignment="1" applyProtection="1">
      <alignment horizontal="right"/>
      <protection/>
    </xf>
    <xf numFmtId="3" fontId="13" fillId="0" borderId="24" xfId="0" applyNumberFormat="1" applyFont="1" applyBorder="1" applyAlignment="1" applyProtection="1">
      <alignment horizontal="right"/>
      <protection/>
    </xf>
    <xf numFmtId="0" fontId="14" fillId="17" borderId="50" xfId="0" applyFont="1" applyFill="1" applyBorder="1" applyAlignment="1" applyProtection="1">
      <alignment/>
      <protection/>
    </xf>
    <xf numFmtId="3" fontId="14" fillId="17" borderId="24" xfId="0" applyNumberFormat="1" applyFont="1" applyFill="1" applyBorder="1" applyAlignment="1" applyProtection="1">
      <alignment horizontal="right"/>
      <protection/>
    </xf>
    <xf numFmtId="3" fontId="14" fillId="17" borderId="21" xfId="0" applyNumberFormat="1" applyFont="1" applyFill="1" applyBorder="1" applyAlignment="1" applyProtection="1">
      <alignment horizontal="right"/>
      <protection/>
    </xf>
    <xf numFmtId="175" fontId="18" fillId="9" borderId="13" xfId="0" applyNumberFormat="1" applyFont="1" applyFill="1" applyBorder="1" applyAlignment="1" applyProtection="1">
      <alignment horizontal="left"/>
      <protection/>
    </xf>
    <xf numFmtId="168" fontId="14" fillId="17" borderId="18" xfId="0" applyNumberFormat="1" applyFont="1" applyFill="1" applyBorder="1" applyAlignment="1" applyProtection="1">
      <alignment horizontal="right"/>
      <protection/>
    </xf>
    <xf numFmtId="168" fontId="14" fillId="17" borderId="35" xfId="0" applyNumberFormat="1" applyFont="1" applyFill="1" applyBorder="1" applyAlignment="1" applyProtection="1">
      <alignment horizontal="right"/>
      <protection/>
    </xf>
    <xf numFmtId="168" fontId="14" fillId="17" borderId="49" xfId="0" applyNumberFormat="1" applyFont="1" applyFill="1" applyBorder="1" applyAlignment="1" applyProtection="1">
      <alignment horizontal="right"/>
      <protection/>
    </xf>
    <xf numFmtId="0" fontId="17" fillId="0" borderId="15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40" fillId="8" borderId="39" xfId="56" applyNumberFormat="1" applyFont="1" applyFill="1" applyBorder="1" applyProtection="1">
      <alignment/>
      <protection locked="0"/>
    </xf>
    <xf numFmtId="3" fontId="40" fillId="8" borderId="51" xfId="56" applyNumberFormat="1" applyFont="1" applyFill="1" applyBorder="1" applyProtection="1">
      <alignment/>
      <protection locked="0"/>
    </xf>
    <xf numFmtId="177" fontId="3" fillId="0" borderId="0" xfId="0" applyNumberFormat="1" applyFont="1" applyBorder="1" applyAlignment="1" applyProtection="1">
      <alignment horizontal="center"/>
      <protection locked="0"/>
    </xf>
    <xf numFmtId="170" fontId="39" fillId="0" borderId="0" xfId="0" applyNumberFormat="1" applyFont="1" applyFill="1" applyBorder="1" applyAlignment="1" applyProtection="1">
      <alignment/>
      <protection locked="0"/>
    </xf>
    <xf numFmtId="3" fontId="40" fillId="8" borderId="52" xfId="56" applyNumberFormat="1" applyFont="1" applyFill="1" applyBorder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171" fontId="3" fillId="0" borderId="0" xfId="0" applyNumberFormat="1" applyFont="1" applyBorder="1" applyAlignment="1" applyProtection="1">
      <alignment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1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/>
      <protection/>
    </xf>
    <xf numFmtId="0" fontId="3" fillId="9" borderId="12" xfId="0" applyFont="1" applyFill="1" applyBorder="1" applyAlignment="1" applyProtection="1">
      <alignment/>
      <protection/>
    </xf>
    <xf numFmtId="0" fontId="3" fillId="9" borderId="13" xfId="0" applyFont="1" applyFill="1" applyBorder="1" applyAlignment="1" applyProtection="1">
      <alignment/>
      <protection/>
    </xf>
    <xf numFmtId="0" fontId="3" fillId="17" borderId="15" xfId="0" applyFont="1" applyFill="1" applyBorder="1" applyAlignment="1" applyProtection="1">
      <alignment/>
      <protection/>
    </xf>
    <xf numFmtId="0" fontId="14" fillId="17" borderId="16" xfId="0" applyFont="1" applyFill="1" applyBorder="1" applyAlignment="1" applyProtection="1">
      <alignment/>
      <protection/>
    </xf>
    <xf numFmtId="3" fontId="14" fillId="17" borderId="42" xfId="0" applyNumberFormat="1" applyFont="1" applyFill="1" applyBorder="1" applyAlignment="1" applyProtection="1">
      <alignment horizontal="right"/>
      <protection/>
    </xf>
    <xf numFmtId="3" fontId="3" fillId="17" borderId="15" xfId="0" applyNumberFormat="1" applyFont="1" applyFill="1" applyBorder="1" applyAlignment="1" applyProtection="1">
      <alignment horizontal="right"/>
      <protection/>
    </xf>
    <xf numFmtId="3" fontId="3" fillId="17" borderId="16" xfId="0" applyNumberFormat="1" applyFont="1" applyFill="1" applyBorder="1" applyAlignment="1" applyProtection="1">
      <alignment horizontal="right"/>
      <protection/>
    </xf>
    <xf numFmtId="3" fontId="3" fillId="17" borderId="17" xfId="0" applyNumberFormat="1" applyFont="1" applyFill="1" applyBorder="1" applyAlignment="1" applyProtection="1">
      <alignment horizontal="right"/>
      <protection/>
    </xf>
    <xf numFmtId="0" fontId="3" fillId="0" borderId="53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3" fontId="13" fillId="0" borderId="55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3" fontId="13" fillId="0" borderId="33" xfId="0" applyNumberFormat="1" applyFont="1" applyFill="1" applyBorder="1" applyAlignment="1" applyProtection="1">
      <alignment horizontal="right"/>
      <protection/>
    </xf>
    <xf numFmtId="0" fontId="13" fillId="0" borderId="56" xfId="0" applyFont="1" applyBorder="1" applyAlignment="1" applyProtection="1">
      <alignment/>
      <protection/>
    </xf>
    <xf numFmtId="0" fontId="3" fillId="17" borderId="43" xfId="0" applyFont="1" applyFill="1" applyBorder="1" applyAlignment="1" applyProtection="1">
      <alignment/>
      <protection/>
    </xf>
    <xf numFmtId="3" fontId="3" fillId="17" borderId="44" xfId="0" applyNumberFormat="1" applyFont="1" applyFill="1" applyBorder="1" applyAlignment="1" applyProtection="1">
      <alignment/>
      <protection/>
    </xf>
    <xf numFmtId="3" fontId="3" fillId="17" borderId="46" xfId="0" applyNumberFormat="1" applyFont="1" applyFill="1" applyBorder="1" applyAlignment="1" applyProtection="1">
      <alignment/>
      <protection/>
    </xf>
    <xf numFmtId="0" fontId="3" fillId="17" borderId="12" xfId="0" applyFont="1" applyFill="1" applyBorder="1" applyAlignment="1" applyProtection="1">
      <alignment/>
      <protection/>
    </xf>
    <xf numFmtId="3" fontId="14" fillId="17" borderId="57" xfId="37" applyNumberFormat="1" applyFont="1" applyFill="1" applyBorder="1" applyAlignment="1" applyProtection="1">
      <alignment horizontal="right"/>
      <protection/>
    </xf>
    <xf numFmtId="3" fontId="3" fillId="17" borderId="58" xfId="0" applyNumberFormat="1" applyFont="1" applyFill="1" applyBorder="1" applyAlignment="1" applyProtection="1">
      <alignment/>
      <protection/>
    </xf>
    <xf numFmtId="3" fontId="3" fillId="17" borderId="59" xfId="0" applyNumberFormat="1" applyFont="1" applyFill="1" applyBorder="1" applyAlignment="1" applyProtection="1">
      <alignment/>
      <protection/>
    </xf>
    <xf numFmtId="0" fontId="3" fillId="9" borderId="1" xfId="0" applyFont="1" applyFill="1" applyBorder="1" applyAlignment="1" applyProtection="1">
      <alignment/>
      <protection/>
    </xf>
    <xf numFmtId="0" fontId="3" fillId="17" borderId="60" xfId="0" applyFont="1" applyFill="1" applyBorder="1" applyAlignment="1" applyProtection="1">
      <alignment/>
      <protection/>
    </xf>
    <xf numFmtId="3" fontId="4" fillId="17" borderId="4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13" fillId="0" borderId="35" xfId="0" applyNumberFormat="1" applyFont="1" applyFill="1" applyBorder="1" applyAlignment="1" applyProtection="1">
      <alignment horizontal="right"/>
      <protection/>
    </xf>
    <xf numFmtId="3" fontId="4" fillId="17" borderId="46" xfId="0" applyNumberFormat="1" applyFont="1" applyFill="1" applyBorder="1" applyAlignment="1" applyProtection="1">
      <alignment horizontal="center"/>
      <protection/>
    </xf>
    <xf numFmtId="0" fontId="3" fillId="17" borderId="19" xfId="0" applyFont="1" applyFill="1" applyBorder="1" applyAlignment="1" applyProtection="1">
      <alignment horizontal="center"/>
      <protection/>
    </xf>
    <xf numFmtId="0" fontId="12" fillId="9" borderId="14" xfId="0" applyFont="1" applyFill="1" applyBorder="1" applyAlignment="1" applyProtection="1">
      <alignment horizontal="center" vertical="center"/>
      <protection/>
    </xf>
    <xf numFmtId="0" fontId="12" fillId="9" borderId="17" xfId="0" applyFont="1" applyFill="1" applyBorder="1" applyAlignment="1" applyProtection="1">
      <alignment horizontal="left" vertical="center"/>
      <protection/>
    </xf>
    <xf numFmtId="170" fontId="11" fillId="9" borderId="39" xfId="0" applyNumberFormat="1" applyFont="1" applyFill="1" applyBorder="1" applyAlignment="1" applyProtection="1">
      <alignment horizontal="center" vertical="center"/>
      <protection/>
    </xf>
    <xf numFmtId="170" fontId="3" fillId="9" borderId="15" xfId="0" applyNumberFormat="1" applyFont="1" applyFill="1" applyBorder="1" applyAlignment="1" applyProtection="1">
      <alignment/>
      <protection/>
    </xf>
    <xf numFmtId="170" fontId="3" fillId="9" borderId="16" xfId="0" applyNumberFormat="1" applyFont="1" applyFill="1" applyBorder="1" applyAlignment="1" applyProtection="1">
      <alignment/>
      <protection/>
    </xf>
    <xf numFmtId="170" fontId="3" fillId="9" borderId="17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0" fontId="3" fillId="0" borderId="61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 horizontal="center"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0" fontId="3" fillId="0" borderId="62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170" fontId="3" fillId="0" borderId="11" xfId="0" applyNumberFormat="1" applyFont="1" applyBorder="1" applyAlignment="1" applyProtection="1">
      <alignment/>
      <protection/>
    </xf>
    <xf numFmtId="170" fontId="8" fillId="0" borderId="0" xfId="0" applyNumberFormat="1" applyFont="1" applyFill="1" applyBorder="1" applyAlignment="1" applyProtection="1">
      <alignment horizontal="center"/>
      <protection/>
    </xf>
    <xf numFmtId="170" fontId="3" fillId="0" borderId="63" xfId="0" applyNumberFormat="1" applyFont="1" applyFill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3" xfId="0" applyNumberFormat="1" applyFont="1" applyFill="1" applyBorder="1" applyAlignment="1" applyProtection="1">
      <alignment horizontal="center"/>
      <protection/>
    </xf>
    <xf numFmtId="170" fontId="3" fillId="0" borderId="19" xfId="0" applyNumberFormat="1" applyFont="1" applyBorder="1" applyAlignment="1" applyProtection="1">
      <alignment/>
      <protection/>
    </xf>
    <xf numFmtId="0" fontId="10" fillId="9" borderId="14" xfId="0" applyFont="1" applyFill="1" applyBorder="1" applyAlignment="1" applyProtection="1">
      <alignment/>
      <protection/>
    </xf>
    <xf numFmtId="0" fontId="19" fillId="9" borderId="64" xfId="0" applyFont="1" applyFill="1" applyBorder="1" applyAlignment="1" applyProtection="1">
      <alignment horizontal="center"/>
      <protection/>
    </xf>
    <xf numFmtId="0" fontId="19" fillId="9" borderId="14" xfId="0" applyFont="1" applyFill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left"/>
      <protection/>
    </xf>
    <xf numFmtId="3" fontId="8" fillId="0" borderId="65" xfId="57" applyNumberFormat="1" applyFont="1" applyFill="1" applyBorder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3" fontId="8" fillId="0" borderId="36" xfId="57" applyNumberFormat="1" applyFont="1" applyFill="1" applyBorder="1" applyProtection="1">
      <alignment/>
      <protection/>
    </xf>
    <xf numFmtId="0" fontId="19" fillId="0" borderId="62" xfId="0" applyFont="1" applyBorder="1" applyAlignment="1" applyProtection="1">
      <alignment horizontal="left"/>
      <protection/>
    </xf>
    <xf numFmtId="0" fontId="3" fillId="0" borderId="66" xfId="0" applyFont="1" applyBorder="1" applyAlignment="1" applyProtection="1">
      <alignment/>
      <protection/>
    </xf>
    <xf numFmtId="0" fontId="19" fillId="0" borderId="58" xfId="0" applyFont="1" applyBorder="1" applyAlignment="1" applyProtection="1">
      <alignment horizontal="left"/>
      <protection/>
    </xf>
    <xf numFmtId="3" fontId="8" fillId="2" borderId="67" xfId="57" applyNumberFormat="1" applyFont="1" applyFill="1" applyBorder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19" fillId="0" borderId="51" xfId="0" applyNumberFormat="1" applyFont="1" applyBorder="1" applyAlignment="1" applyProtection="1">
      <alignment/>
      <protection/>
    </xf>
    <xf numFmtId="3" fontId="19" fillId="0" borderId="52" xfId="0" applyNumberFormat="1" applyFont="1" applyBorder="1" applyAlignment="1" applyProtection="1">
      <alignment/>
      <protection/>
    </xf>
    <xf numFmtId="3" fontId="19" fillId="0" borderId="32" xfId="0" applyNumberFormat="1" applyFont="1" applyBorder="1" applyAlignment="1" applyProtection="1">
      <alignment/>
      <protection/>
    </xf>
    <xf numFmtId="16" fontId="12" fillId="9" borderId="15" xfId="0" applyNumberFormat="1" applyFont="1" applyFill="1" applyBorder="1" applyAlignment="1" applyProtection="1">
      <alignment horizontal="center" vertical="center"/>
      <protection/>
    </xf>
    <xf numFmtId="0" fontId="11" fillId="9" borderId="47" xfId="0" applyFont="1" applyFill="1" applyBorder="1" applyAlignment="1" applyProtection="1">
      <alignment horizontal="left" vertical="center"/>
      <protection/>
    </xf>
    <xf numFmtId="0" fontId="11" fillId="9" borderId="48" xfId="0" applyFont="1" applyFill="1" applyBorder="1" applyAlignment="1" applyProtection="1">
      <alignment horizontal="left" vertical="center"/>
      <protection/>
    </xf>
    <xf numFmtId="0" fontId="11" fillId="9" borderId="49" xfId="0" applyFont="1" applyFill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/>
    </xf>
    <xf numFmtId="170" fontId="3" fillId="0" borderId="4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/>
      <protection locked="0"/>
    </xf>
    <xf numFmtId="3" fontId="3" fillId="8" borderId="17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" fontId="3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57" applyFill="1" applyBorder="1" applyAlignment="1" applyProtection="1">
      <alignment horizontal="right"/>
      <protection locked="0"/>
    </xf>
    <xf numFmtId="0" fontId="3" fillId="0" borderId="0" xfId="57" applyFont="1" applyFill="1" applyBorder="1" applyAlignment="1" applyProtection="1">
      <alignment horizontal="center"/>
      <protection locked="0"/>
    </xf>
    <xf numFmtId="169" fontId="38" fillId="0" borderId="0" xfId="57" applyNumberFormat="1" applyFont="1" applyFill="1" applyBorder="1" applyAlignment="1" applyProtection="1">
      <alignment horizontal="center"/>
      <protection locked="0"/>
    </xf>
    <xf numFmtId="174" fontId="11" fillId="0" borderId="0" xfId="57" applyNumberFormat="1" applyFont="1" applyFill="1" applyBorder="1" applyAlignment="1" applyProtection="1">
      <alignment horizontal="right"/>
      <protection locked="0"/>
    </xf>
    <xf numFmtId="174" fontId="0" fillId="0" borderId="0" xfId="57" applyNumberFormat="1" applyFont="1" applyFill="1" applyBorder="1" applyAlignment="1" applyProtection="1">
      <alignment horizontal="left"/>
      <protection locked="0"/>
    </xf>
    <xf numFmtId="174" fontId="0" fillId="0" borderId="0" xfId="57" applyNumberForma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3" fillId="0" borderId="0" xfId="57" applyFont="1" applyBorder="1" applyProtection="1">
      <alignment/>
      <protection locked="0"/>
    </xf>
    <xf numFmtId="0" fontId="0" fillId="0" borderId="0" xfId="57" applyProtection="1">
      <alignment/>
      <protection locked="0"/>
    </xf>
    <xf numFmtId="10" fontId="18" fillId="0" borderId="0" xfId="78" applyNumberFormat="1" applyFont="1" applyFill="1" applyBorder="1" applyAlignment="1" applyProtection="1">
      <alignment horizontal="center"/>
      <protection locked="0"/>
    </xf>
    <xf numFmtId="167" fontId="3" fillId="0" borderId="0" xfId="57" applyNumberFormat="1" applyFont="1" applyBorder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57" applyNumberFormat="1" applyFont="1" applyBorder="1" applyProtection="1">
      <alignment/>
      <protection locked="0"/>
    </xf>
    <xf numFmtId="16" fontId="3" fillId="0" borderId="0" xfId="57" applyNumberFormat="1" applyFont="1" applyBorder="1" applyAlignment="1" applyProtection="1" quotePrefix="1">
      <alignment/>
      <protection locked="0"/>
    </xf>
    <xf numFmtId="0" fontId="3" fillId="0" borderId="0" xfId="57" applyFont="1" applyFill="1" applyBorder="1" applyProtection="1">
      <alignment/>
      <protection locked="0"/>
    </xf>
    <xf numFmtId="3" fontId="3" fillId="0" borderId="0" xfId="57" applyNumberFormat="1" applyFont="1" applyFill="1" applyBorder="1" applyProtection="1">
      <alignment/>
      <protection locked="0"/>
    </xf>
    <xf numFmtId="3" fontId="8" fillId="0" borderId="0" xfId="57" applyNumberFormat="1" applyFont="1" applyFill="1" applyBorder="1" applyProtection="1">
      <alignment/>
      <protection locked="0"/>
    </xf>
    <xf numFmtId="0" fontId="42" fillId="0" borderId="0" xfId="57" applyFont="1" applyFill="1" applyBorder="1" applyProtection="1">
      <alignment/>
      <protection locked="0"/>
    </xf>
    <xf numFmtId="169" fontId="3" fillId="8" borderId="15" xfId="54" applyNumberFormat="1" applyFont="1" applyFill="1" applyBorder="1" applyAlignment="1" applyProtection="1">
      <alignment/>
      <protection locked="0"/>
    </xf>
    <xf numFmtId="169" fontId="3" fillId="8" borderId="16" xfId="54" applyNumberFormat="1" applyFont="1" applyFill="1" applyBorder="1" applyAlignment="1" applyProtection="1">
      <alignment/>
      <protection locked="0"/>
    </xf>
    <xf numFmtId="169" fontId="3" fillId="8" borderId="17" xfId="54" applyNumberFormat="1" applyFont="1" applyFill="1" applyBorder="1" applyAlignment="1" applyProtection="1">
      <alignment/>
      <protection locked="0"/>
    </xf>
    <xf numFmtId="3" fontId="3" fillId="8" borderId="66" xfId="57" applyNumberFormat="1" applyFont="1" applyFill="1" applyBorder="1" applyProtection="1">
      <alignment/>
      <protection locked="0"/>
    </xf>
    <xf numFmtId="3" fontId="3" fillId="8" borderId="58" xfId="57" applyNumberFormat="1" applyFont="1" applyFill="1" applyBorder="1" applyProtection="1">
      <alignment/>
      <protection locked="0"/>
    </xf>
    <xf numFmtId="3" fontId="3" fillId="8" borderId="59" xfId="57" applyNumberFormat="1" applyFont="1" applyFill="1" applyBorder="1" applyProtection="1">
      <alignment/>
      <protection locked="0"/>
    </xf>
    <xf numFmtId="16" fontId="3" fillId="0" borderId="0" xfId="57" applyNumberFormat="1" applyFont="1" applyBorder="1" applyProtection="1" quotePrefix="1">
      <alignment/>
      <protection locked="0"/>
    </xf>
    <xf numFmtId="16" fontId="3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0" fontId="30" fillId="0" borderId="0" xfId="57" applyFont="1" applyBorder="1" applyProtection="1">
      <alignment/>
      <protection locked="0"/>
    </xf>
    <xf numFmtId="0" fontId="8" fillId="0" borderId="0" xfId="57" applyFont="1" applyFill="1" applyBorder="1" applyProtection="1">
      <alignment/>
      <protection locked="0"/>
    </xf>
    <xf numFmtId="0" fontId="0" fillId="9" borderId="41" xfId="0" applyFill="1" applyBorder="1" applyAlignment="1" applyProtection="1">
      <alignment/>
      <protection/>
    </xf>
    <xf numFmtId="0" fontId="11" fillId="9" borderId="32" xfId="0" applyFont="1" applyFill="1" applyBorder="1" applyAlignment="1" applyProtection="1">
      <alignment horizontal="center"/>
      <protection/>
    </xf>
    <xf numFmtId="0" fontId="15" fillId="9" borderId="58" xfId="0" applyFont="1" applyFill="1" applyBorder="1" applyAlignment="1" applyProtection="1">
      <alignment horizontal="left"/>
      <protection/>
    </xf>
    <xf numFmtId="0" fontId="14" fillId="9" borderId="28" xfId="0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" fontId="14" fillId="0" borderId="42" xfId="0" applyNumberFormat="1" applyFont="1" applyFill="1" applyBorder="1" applyAlignment="1" applyProtection="1">
      <alignment/>
      <protection/>
    </xf>
    <xf numFmtId="16" fontId="3" fillId="0" borderId="1" xfId="0" applyNumberFormat="1" applyFont="1" applyFill="1" applyBorder="1" applyAlignment="1" applyProtection="1" quotePrefix="1">
      <alignment/>
      <protection/>
    </xf>
    <xf numFmtId="0" fontId="15" fillId="0" borderId="0" xfId="0" applyFont="1" applyFill="1" applyBorder="1" applyAlignment="1" applyProtection="1">
      <alignment/>
      <protection/>
    </xf>
    <xf numFmtId="3" fontId="14" fillId="0" borderId="33" xfId="0" applyNumberFormat="1" applyFont="1" applyFill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/>
    </xf>
    <xf numFmtId="16" fontId="3" fillId="0" borderId="66" xfId="0" applyNumberFormat="1" applyFont="1" applyFill="1" applyBorder="1" applyAlignment="1" applyProtection="1">
      <alignment/>
      <protection/>
    </xf>
    <xf numFmtId="0" fontId="14" fillId="0" borderId="58" xfId="0" applyFont="1" applyFill="1" applyBorder="1" applyAlignment="1" applyProtection="1">
      <alignment/>
      <protection/>
    </xf>
    <xf numFmtId="3" fontId="14" fillId="0" borderId="2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58" xfId="0" applyNumberFormat="1" applyFont="1" applyBorder="1" applyAlignment="1" applyProtection="1">
      <alignment/>
      <protection/>
    </xf>
    <xf numFmtId="3" fontId="4" fillId="0" borderId="59" xfId="0" applyNumberFormat="1" applyFont="1" applyBorder="1" applyAlignment="1" applyProtection="1">
      <alignment/>
      <protection/>
    </xf>
    <xf numFmtId="0" fontId="4" fillId="9" borderId="41" xfId="0" applyFont="1" applyFill="1" applyBorder="1" applyAlignment="1" applyProtection="1">
      <alignment horizontal="left"/>
      <protection/>
    </xf>
    <xf numFmtId="0" fontId="4" fillId="9" borderId="19" xfId="0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16" fontId="3" fillId="0" borderId="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16" fontId="3" fillId="0" borderId="34" xfId="0" applyNumberFormat="1" applyFont="1" applyFill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2" fillId="13" borderId="39" xfId="0" applyFont="1" applyFill="1" applyBorder="1" applyAlignment="1" applyProtection="1">
      <alignment horizontal="center"/>
      <protection/>
    </xf>
    <xf numFmtId="0" fontId="12" fillId="13" borderId="40" xfId="0" applyFont="1" applyFill="1" applyBorder="1" applyAlignment="1" applyProtection="1">
      <alignment horizontal="left"/>
      <protection/>
    </xf>
    <xf numFmtId="0" fontId="0" fillId="13" borderId="41" xfId="0" applyFill="1" applyBorder="1" applyAlignment="1" applyProtection="1">
      <alignment/>
      <protection/>
    </xf>
    <xf numFmtId="0" fontId="11" fillId="13" borderId="32" xfId="0" applyFont="1" applyFill="1" applyBorder="1" applyAlignment="1" applyProtection="1">
      <alignment horizontal="center"/>
      <protection/>
    </xf>
    <xf numFmtId="0" fontId="15" fillId="13" borderId="58" xfId="0" applyFont="1" applyFill="1" applyBorder="1" applyAlignment="1" applyProtection="1">
      <alignment horizontal="left"/>
      <protection/>
    </xf>
    <xf numFmtId="0" fontId="14" fillId="13" borderId="28" xfId="0" applyFont="1" applyFill="1" applyBorder="1" applyAlignment="1" applyProtection="1">
      <alignment horizontal="center"/>
      <protection/>
    </xf>
    <xf numFmtId="0" fontId="4" fillId="13" borderId="41" xfId="0" applyFont="1" applyFill="1" applyBorder="1" applyAlignment="1" applyProtection="1">
      <alignment horizontal="left"/>
      <protection/>
    </xf>
    <xf numFmtId="0" fontId="4" fillId="13" borderId="19" xfId="0" applyFont="1" applyFill="1" applyBorder="1" applyAlignment="1" applyProtection="1">
      <alignment/>
      <protection/>
    </xf>
    <xf numFmtId="0" fontId="12" fillId="3" borderId="39" xfId="0" applyFont="1" applyFill="1" applyBorder="1" applyAlignment="1" applyProtection="1">
      <alignment horizontal="center"/>
      <protection/>
    </xf>
    <xf numFmtId="0" fontId="12" fillId="3" borderId="40" xfId="0" applyFont="1" applyFill="1" applyBorder="1" applyAlignment="1" applyProtection="1">
      <alignment horizontal="left"/>
      <protection/>
    </xf>
    <xf numFmtId="0" fontId="12" fillId="3" borderId="41" xfId="0" applyFont="1" applyFill="1" applyBorder="1" applyAlignment="1" applyProtection="1">
      <alignment horizontal="left"/>
      <protection/>
    </xf>
    <xf numFmtId="0" fontId="11" fillId="3" borderId="32" xfId="0" applyFont="1" applyFill="1" applyBorder="1" applyAlignment="1" applyProtection="1">
      <alignment horizontal="center"/>
      <protection/>
    </xf>
    <xf numFmtId="0" fontId="15" fillId="3" borderId="58" xfId="0" applyFont="1" applyFill="1" applyBorder="1" applyAlignment="1" applyProtection="1">
      <alignment horizontal="left"/>
      <protection/>
    </xf>
    <xf numFmtId="0" fontId="14" fillId="3" borderId="28" xfId="0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34" xfId="0" applyNumberFormat="1" applyFont="1" applyFill="1" applyBorder="1" applyAlignment="1" applyProtection="1">
      <alignment/>
      <protection/>
    </xf>
    <xf numFmtId="0" fontId="13" fillId="0" borderId="60" xfId="0" applyFont="1" applyBorder="1" applyAlignment="1" applyProtection="1">
      <alignment/>
      <protection/>
    </xf>
    <xf numFmtId="0" fontId="14" fillId="0" borderId="40" xfId="0" applyFont="1" applyBorder="1" applyAlignment="1" applyProtection="1">
      <alignment/>
      <protection/>
    </xf>
    <xf numFmtId="3" fontId="14" fillId="9" borderId="68" xfId="0" applyNumberFormat="1" applyFont="1" applyFill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/>
      <protection/>
    </xf>
    <xf numFmtId="3" fontId="14" fillId="13" borderId="45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3" fontId="14" fillId="3" borderId="57" xfId="0" applyNumberFormat="1" applyFont="1" applyFill="1" applyBorder="1" applyAlignment="1" applyProtection="1">
      <alignment/>
      <protection/>
    </xf>
    <xf numFmtId="0" fontId="33" fillId="6" borderId="17" xfId="57" applyFont="1" applyFill="1" applyBorder="1" applyAlignment="1" applyProtection="1">
      <alignment horizontal="center"/>
      <protection/>
    </xf>
    <xf numFmtId="0" fontId="18" fillId="6" borderId="69" xfId="0" applyFont="1" applyFill="1" applyBorder="1" applyAlignment="1" applyProtection="1">
      <alignment horizontal="center" vertical="center"/>
      <protection/>
    </xf>
    <xf numFmtId="0" fontId="18" fillId="6" borderId="68" xfId="0" applyFont="1" applyFill="1" applyBorder="1" applyAlignment="1" applyProtection="1">
      <alignment horizontal="center" vertical="center"/>
      <protection/>
    </xf>
    <xf numFmtId="0" fontId="15" fillId="6" borderId="70" xfId="57" applyFont="1" applyFill="1" applyBorder="1" applyAlignment="1" applyProtection="1">
      <alignment horizontal="left"/>
      <protection/>
    </xf>
    <xf numFmtId="0" fontId="18" fillId="6" borderId="71" xfId="0" applyFont="1" applyFill="1" applyBorder="1" applyAlignment="1" applyProtection="1">
      <alignment horizontal="center" vertical="center"/>
      <protection/>
    </xf>
    <xf numFmtId="0" fontId="18" fillId="6" borderId="45" xfId="0" applyFont="1" applyFill="1" applyBorder="1" applyAlignment="1" applyProtection="1">
      <alignment horizontal="center" vertical="center"/>
      <protection/>
    </xf>
    <xf numFmtId="0" fontId="15" fillId="6" borderId="19" xfId="57" applyFont="1" applyFill="1" applyBorder="1" applyAlignment="1" applyProtection="1">
      <alignment horizontal="left"/>
      <protection/>
    </xf>
    <xf numFmtId="0" fontId="18" fillId="6" borderId="26" xfId="0" applyFont="1" applyFill="1" applyBorder="1" applyAlignment="1" applyProtection="1">
      <alignment horizontal="center" vertical="center"/>
      <protection/>
    </xf>
    <xf numFmtId="0" fontId="18" fillId="6" borderId="28" xfId="0" applyFont="1" applyFill="1" applyBorder="1" applyAlignment="1" applyProtection="1">
      <alignment horizontal="center" vertical="center"/>
      <protection/>
    </xf>
    <xf numFmtId="0" fontId="3" fillId="0" borderId="72" xfId="57" applyFont="1" applyBorder="1" applyProtection="1">
      <alignment/>
      <protection/>
    </xf>
    <xf numFmtId="0" fontId="15" fillId="0" borderId="36" xfId="57" applyFont="1" applyBorder="1" applyProtection="1">
      <alignment/>
      <protection/>
    </xf>
    <xf numFmtId="3" fontId="13" fillId="0" borderId="38" xfId="57" applyNumberFormat="1" applyFont="1" applyBorder="1" applyAlignment="1" applyProtection="1">
      <alignment horizontal="center"/>
      <protection/>
    </xf>
    <xf numFmtId="3" fontId="13" fillId="0" borderId="33" xfId="57" applyNumberFormat="1" applyFont="1" applyBorder="1" applyAlignment="1" applyProtection="1">
      <alignment horizontal="center"/>
      <protection/>
    </xf>
    <xf numFmtId="0" fontId="3" fillId="0" borderId="31" xfId="57" applyFont="1" applyBorder="1" applyProtection="1">
      <alignment/>
      <protection/>
    </xf>
    <xf numFmtId="0" fontId="15" fillId="0" borderId="73" xfId="57" applyFont="1" applyBorder="1" applyProtection="1">
      <alignment/>
      <protection/>
    </xf>
    <xf numFmtId="3" fontId="13" fillId="0" borderId="74" xfId="57" applyNumberFormat="1" applyFont="1" applyBorder="1" applyAlignment="1" applyProtection="1">
      <alignment horizontal="center"/>
      <protection/>
    </xf>
    <xf numFmtId="3" fontId="13" fillId="0" borderId="57" xfId="57" applyNumberFormat="1" applyFont="1" applyBorder="1" applyAlignment="1" applyProtection="1">
      <alignment horizontal="center"/>
      <protection/>
    </xf>
    <xf numFmtId="0" fontId="12" fillId="9" borderId="39" xfId="57" applyFont="1" applyFill="1" applyBorder="1" applyAlignment="1" applyProtection="1">
      <alignment horizontal="center"/>
      <protection/>
    </xf>
    <xf numFmtId="0" fontId="11" fillId="9" borderId="40" xfId="57" applyFont="1" applyFill="1" applyBorder="1" applyAlignment="1" applyProtection="1">
      <alignment horizontal="left"/>
      <protection/>
    </xf>
    <xf numFmtId="0" fontId="0" fillId="9" borderId="41" xfId="57" applyFill="1" applyBorder="1" applyAlignment="1" applyProtection="1">
      <alignment/>
      <protection/>
    </xf>
    <xf numFmtId="0" fontId="11" fillId="9" borderId="32" xfId="57" applyFont="1" applyFill="1" applyBorder="1" applyAlignment="1" applyProtection="1">
      <alignment horizontal="center"/>
      <protection/>
    </xf>
    <xf numFmtId="0" fontId="15" fillId="9" borderId="58" xfId="57" applyFont="1" applyFill="1" applyBorder="1" applyAlignment="1" applyProtection="1">
      <alignment horizontal="left"/>
      <protection/>
    </xf>
    <xf numFmtId="0" fontId="14" fillId="9" borderId="28" xfId="57" applyFont="1" applyFill="1" applyBorder="1" applyAlignment="1" applyProtection="1">
      <alignment horizontal="center"/>
      <protection/>
    </xf>
    <xf numFmtId="0" fontId="3" fillId="0" borderId="60" xfId="57" applyNumberFormat="1" applyFont="1" applyFill="1" applyBorder="1" applyProtection="1">
      <alignment/>
      <protection/>
    </xf>
    <xf numFmtId="0" fontId="13" fillId="0" borderId="40" xfId="57" applyFont="1" applyFill="1" applyBorder="1" applyProtection="1">
      <alignment/>
      <protection/>
    </xf>
    <xf numFmtId="168" fontId="14" fillId="0" borderId="75" xfId="57" applyNumberFormat="1" applyFont="1" applyFill="1" applyBorder="1" applyAlignment="1" applyProtection="1">
      <alignment horizontal="center"/>
      <protection/>
    </xf>
    <xf numFmtId="0" fontId="3" fillId="0" borderId="1" xfId="57" applyNumberFormat="1" applyFont="1" applyFill="1" applyBorder="1" applyProtection="1">
      <alignment/>
      <protection/>
    </xf>
    <xf numFmtId="0" fontId="13" fillId="0" borderId="76" xfId="57" applyFont="1" applyFill="1" applyBorder="1" applyProtection="1">
      <alignment/>
      <protection/>
    </xf>
    <xf numFmtId="168" fontId="14" fillId="0" borderId="36" xfId="57" applyNumberFormat="1" applyFont="1" applyFill="1" applyBorder="1" applyAlignment="1" applyProtection="1">
      <alignment horizontal="center"/>
      <protection/>
    </xf>
    <xf numFmtId="0" fontId="13" fillId="0" borderId="38" xfId="57" applyFont="1" applyFill="1" applyBorder="1" applyProtection="1">
      <alignment/>
      <protection/>
    </xf>
    <xf numFmtId="0" fontId="3" fillId="0" borderId="12" xfId="57" applyNumberFormat="1" applyFont="1" applyFill="1" applyBorder="1" applyProtection="1">
      <alignment/>
      <protection/>
    </xf>
    <xf numFmtId="0" fontId="13" fillId="0" borderId="74" xfId="57" applyFont="1" applyFill="1" applyBorder="1" applyProtection="1">
      <alignment/>
      <protection/>
    </xf>
    <xf numFmtId="168" fontId="14" fillId="0" borderId="73" xfId="57" applyNumberFormat="1" applyFont="1" applyFill="1" applyBorder="1" applyAlignment="1" applyProtection="1">
      <alignment horizontal="center"/>
      <protection/>
    </xf>
    <xf numFmtId="0" fontId="12" fillId="9" borderId="40" xfId="57" applyFont="1" applyFill="1" applyBorder="1" applyAlignment="1" applyProtection="1">
      <alignment horizontal="left"/>
      <protection/>
    </xf>
    <xf numFmtId="0" fontId="4" fillId="9" borderId="41" xfId="57" applyFont="1" applyFill="1" applyBorder="1" applyAlignment="1" applyProtection="1">
      <alignment horizontal="left"/>
      <protection/>
    </xf>
    <xf numFmtId="168" fontId="14" fillId="0" borderId="40" xfId="57" applyNumberFormat="1" applyFont="1" applyFill="1" applyBorder="1" applyAlignment="1" applyProtection="1">
      <alignment horizontal="center"/>
      <protection/>
    </xf>
    <xf numFmtId="0" fontId="11" fillId="9" borderId="40" xfId="0" applyFont="1" applyFill="1" applyBorder="1" applyAlignment="1" applyProtection="1">
      <alignment horizontal="left"/>
      <protection/>
    </xf>
    <xf numFmtId="0" fontId="14" fillId="9" borderId="59" xfId="57" applyFont="1" applyFill="1" applyBorder="1" applyAlignment="1" applyProtection="1">
      <alignment horizontal="center"/>
      <protection/>
    </xf>
    <xf numFmtId="0" fontId="15" fillId="0" borderId="65" xfId="54" applyFont="1" applyFill="1" applyBorder="1" applyProtection="1">
      <alignment/>
      <protection/>
    </xf>
    <xf numFmtId="3" fontId="14" fillId="0" borderId="17" xfId="57" applyNumberFormat="1" applyFont="1" applyFill="1" applyBorder="1" applyProtection="1">
      <alignment/>
      <protection/>
    </xf>
    <xf numFmtId="0" fontId="15" fillId="0" borderId="36" xfId="54" applyFont="1" applyFill="1" applyBorder="1" applyProtection="1">
      <alignment/>
      <protection/>
    </xf>
    <xf numFmtId="3" fontId="14" fillId="0" borderId="11" xfId="57" applyNumberFormat="1" applyFont="1" applyFill="1" applyBorder="1" applyProtection="1">
      <alignment/>
      <protection/>
    </xf>
    <xf numFmtId="0" fontId="13" fillId="0" borderId="36" xfId="54" applyFont="1" applyFill="1" applyBorder="1" applyProtection="1">
      <alignment/>
      <protection/>
    </xf>
    <xf numFmtId="0" fontId="20" fillId="0" borderId="36" xfId="54" applyNumberFormat="1" applyFont="1" applyBorder="1" applyProtection="1">
      <alignment/>
      <protection/>
    </xf>
    <xf numFmtId="0" fontId="20" fillId="0" borderId="77" xfId="57" applyNumberFormat="1" applyFont="1" applyBorder="1" applyProtection="1">
      <alignment/>
      <protection/>
    </xf>
    <xf numFmtId="16" fontId="3" fillId="0" borderId="66" xfId="57" applyNumberFormat="1" applyFont="1" applyFill="1" applyBorder="1" applyProtection="1">
      <alignment/>
      <protection/>
    </xf>
    <xf numFmtId="0" fontId="14" fillId="0" borderId="58" xfId="57" applyFont="1" applyFill="1" applyBorder="1" applyProtection="1">
      <alignment/>
      <protection/>
    </xf>
    <xf numFmtId="3" fontId="14" fillId="0" borderId="59" xfId="57" applyNumberFormat="1" applyFont="1" applyFill="1" applyBorder="1" applyProtection="1">
      <alignment/>
      <protection/>
    </xf>
    <xf numFmtId="174" fontId="4" fillId="0" borderId="66" xfId="57" applyNumberFormat="1" applyFont="1" applyFill="1" applyBorder="1" applyProtection="1">
      <alignment/>
      <protection/>
    </xf>
    <xf numFmtId="174" fontId="4" fillId="0" borderId="58" xfId="57" applyNumberFormat="1" applyFont="1" applyFill="1" applyBorder="1" applyProtection="1">
      <alignment/>
      <protection/>
    </xf>
    <xf numFmtId="174" fontId="4" fillId="0" borderId="59" xfId="57" applyNumberFormat="1" applyFont="1" applyFill="1" applyBorder="1" applyProtection="1">
      <alignment/>
      <protection/>
    </xf>
    <xf numFmtId="0" fontId="4" fillId="9" borderId="19" xfId="57" applyFont="1" applyFill="1" applyBorder="1" applyProtection="1">
      <alignment/>
      <protection/>
    </xf>
    <xf numFmtId="0" fontId="20" fillId="0" borderId="36" xfId="57" applyNumberFormat="1" applyFont="1" applyBorder="1" applyProtection="1">
      <alignment/>
      <protection/>
    </xf>
    <xf numFmtId="3" fontId="13" fillId="0" borderId="59" xfId="57" applyNumberFormat="1" applyFont="1" applyFill="1" applyBorder="1" applyProtection="1">
      <alignment/>
      <protection/>
    </xf>
    <xf numFmtId="0" fontId="12" fillId="13" borderId="39" xfId="57" applyFont="1" applyFill="1" applyBorder="1" applyAlignment="1" applyProtection="1">
      <alignment horizontal="center"/>
      <protection/>
    </xf>
    <xf numFmtId="0" fontId="12" fillId="13" borderId="40" xfId="57" applyFont="1" applyFill="1" applyBorder="1" applyAlignment="1" applyProtection="1">
      <alignment horizontal="left"/>
      <protection/>
    </xf>
    <xf numFmtId="0" fontId="0" fillId="13" borderId="41" xfId="57" applyFill="1" applyBorder="1" applyAlignment="1" applyProtection="1">
      <alignment/>
      <protection/>
    </xf>
    <xf numFmtId="0" fontId="11" fillId="13" borderId="32" xfId="57" applyFont="1" applyFill="1" applyBorder="1" applyAlignment="1" applyProtection="1">
      <alignment horizontal="center"/>
      <protection/>
    </xf>
    <xf numFmtId="0" fontId="15" fillId="13" borderId="58" xfId="57" applyFont="1" applyFill="1" applyBorder="1" applyAlignment="1" applyProtection="1">
      <alignment horizontal="left"/>
      <protection/>
    </xf>
    <xf numFmtId="0" fontId="14" fillId="13" borderId="59" xfId="57" applyFont="1" applyFill="1" applyBorder="1" applyAlignment="1" applyProtection="1">
      <alignment horizontal="center"/>
      <protection/>
    </xf>
    <xf numFmtId="0" fontId="4" fillId="13" borderId="41" xfId="57" applyFont="1" applyFill="1" applyBorder="1" applyAlignment="1" applyProtection="1">
      <alignment horizontal="left"/>
      <protection/>
    </xf>
    <xf numFmtId="0" fontId="4" fillId="13" borderId="19" xfId="57" applyFont="1" applyFill="1" applyBorder="1" applyProtection="1">
      <alignment/>
      <protection/>
    </xf>
    <xf numFmtId="3" fontId="14" fillId="0" borderId="35" xfId="57" applyNumberFormat="1" applyFont="1" applyFill="1" applyBorder="1" applyProtection="1">
      <alignment/>
      <protection/>
    </xf>
    <xf numFmtId="0" fontId="17" fillId="0" borderId="12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3" fontId="3" fillId="8" borderId="19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6" fontId="4" fillId="0" borderId="0" xfId="0" applyNumberFormat="1" applyFont="1" applyFill="1" applyBorder="1" applyAlignment="1" applyProtection="1" quotePrefix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3" fontId="3" fillId="8" borderId="1" xfId="54" applyNumberFormat="1" applyFont="1" applyFill="1" applyBorder="1" applyProtection="1">
      <alignment/>
      <protection locked="0"/>
    </xf>
    <xf numFmtId="3" fontId="3" fillId="8" borderId="0" xfId="54" applyNumberFormat="1" applyFont="1" applyFill="1" applyBorder="1" applyProtection="1">
      <alignment/>
      <protection locked="0"/>
    </xf>
    <xf numFmtId="3" fontId="3" fillId="8" borderId="12" xfId="54" applyNumberFormat="1" applyFont="1" applyFill="1" applyBorder="1" applyProtection="1">
      <alignment/>
      <protection locked="0"/>
    </xf>
    <xf numFmtId="3" fontId="3" fillId="8" borderId="13" xfId="54" applyNumberFormat="1" applyFont="1" applyFill="1" applyBorder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/>
    </xf>
    <xf numFmtId="16" fontId="3" fillId="0" borderId="47" xfId="0" applyNumberFormat="1" applyFont="1" applyFill="1" applyBorder="1" applyAlignment="1" applyProtection="1">
      <alignment/>
      <protection/>
    </xf>
    <xf numFmtId="0" fontId="14" fillId="0" borderId="48" xfId="0" applyFont="1" applyFill="1" applyBorder="1" applyAlignment="1" applyProtection="1">
      <alignment/>
      <protection/>
    </xf>
    <xf numFmtId="3" fontId="14" fillId="0" borderId="64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4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0" fontId="4" fillId="9" borderId="11" xfId="0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2" fillId="13" borderId="41" xfId="0" applyFont="1" applyFill="1" applyBorder="1" applyAlignment="1" applyProtection="1">
      <alignment horizontal="left"/>
      <protection/>
    </xf>
    <xf numFmtId="3" fontId="14" fillId="0" borderId="22" xfId="0" applyNumberFormat="1" applyFont="1" applyFill="1" applyBorder="1" applyAlignment="1" applyProtection="1">
      <alignment/>
      <protection/>
    </xf>
    <xf numFmtId="3" fontId="13" fillId="0" borderId="49" xfId="0" applyNumberFormat="1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left"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5" fillId="3" borderId="66" xfId="0" applyFont="1" applyFill="1" applyBorder="1" applyAlignment="1" applyProtection="1">
      <alignment horizontal="left"/>
      <protection/>
    </xf>
    <xf numFmtId="0" fontId="4" fillId="3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13" fillId="0" borderId="48" xfId="0" applyNumberFormat="1" applyFont="1" applyFill="1" applyBorder="1" applyAlignment="1" applyProtection="1">
      <alignment/>
      <protection/>
    </xf>
    <xf numFmtId="0" fontId="12" fillId="6" borderId="20" xfId="0" applyFont="1" applyFill="1" applyBorder="1" applyAlignment="1" applyProtection="1">
      <alignment horizontal="center"/>
      <protection/>
    </xf>
    <xf numFmtId="0" fontId="13" fillId="6" borderId="64" xfId="0" applyFont="1" applyFill="1" applyBorder="1" applyAlignment="1" applyProtection="1">
      <alignment horizontal="center"/>
      <protection/>
    </xf>
    <xf numFmtId="0" fontId="13" fillId="6" borderId="78" xfId="0" applyFont="1" applyFill="1" applyBorder="1" applyAlignment="1" applyProtection="1">
      <alignment horizontal="center"/>
      <protection/>
    </xf>
    <xf numFmtId="0" fontId="13" fillId="6" borderId="76" xfId="0" applyFont="1" applyFill="1" applyBorder="1" applyAlignment="1" applyProtection="1">
      <alignment horizontal="center"/>
      <protection/>
    </xf>
    <xf numFmtId="0" fontId="13" fillId="6" borderId="55" xfId="0" applyFont="1" applyFill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69" xfId="0" applyFont="1" applyFill="1" applyBorder="1" applyAlignment="1" applyProtection="1">
      <alignment horizontal="center"/>
      <protection/>
    </xf>
    <xf numFmtId="0" fontId="13" fillId="0" borderId="68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16" fontId="3" fillId="0" borderId="15" xfId="0" applyNumberFormat="1" applyFont="1" applyFill="1" applyBorder="1" applyAlignment="1" applyProtection="1" quotePrefix="1">
      <alignment horizontal="center"/>
      <protection/>
    </xf>
    <xf numFmtId="0" fontId="20" fillId="0" borderId="16" xfId="0" applyNumberFormat="1" applyFont="1" applyBorder="1" applyAlignment="1" applyProtection="1">
      <alignment horizontal="left"/>
      <protection/>
    </xf>
    <xf numFmtId="16" fontId="3" fillId="0" borderId="1" xfId="0" applyNumberFormat="1" applyFont="1" applyFill="1" applyBorder="1" applyAlignment="1" applyProtection="1" quotePrefix="1">
      <alignment horizontal="center"/>
      <protection/>
    </xf>
    <xf numFmtId="0" fontId="20" fillId="0" borderId="0" xfId="0" applyNumberFormat="1" applyFont="1" applyBorder="1" applyAlignment="1" applyProtection="1">
      <alignment horizontal="left"/>
      <protection/>
    </xf>
    <xf numFmtId="16" fontId="3" fillId="0" borderId="12" xfId="0" applyNumberFormat="1" applyFont="1" applyFill="1" applyBorder="1" applyAlignment="1" applyProtection="1" quotePrefix="1">
      <alignment horizontal="center"/>
      <protection/>
    </xf>
    <xf numFmtId="0" fontId="20" fillId="0" borderId="13" xfId="0" applyNumberFormat="1" applyFont="1" applyBorder="1" applyAlignment="1" applyProtection="1">
      <alignment horizontal="left"/>
      <protection/>
    </xf>
    <xf numFmtId="3" fontId="13" fillId="0" borderId="57" xfId="0" applyNumberFormat="1" applyFont="1" applyFill="1" applyBorder="1" applyAlignment="1" applyProtection="1">
      <alignment/>
      <protection/>
    </xf>
    <xf numFmtId="16" fontId="3" fillId="0" borderId="1" xfId="0" applyNumberFormat="1" applyFont="1" applyFill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/>
      <protection/>
    </xf>
    <xf numFmtId="0" fontId="17" fillId="0" borderId="48" xfId="0" applyFont="1" applyBorder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/>
      <protection/>
    </xf>
    <xf numFmtId="0" fontId="3" fillId="0" borderId="0" xfId="53" applyFont="1" applyFill="1" applyBorder="1" applyProtection="1">
      <alignment/>
      <protection locked="0"/>
    </xf>
    <xf numFmtId="3" fontId="3" fillId="0" borderId="0" xfId="53" applyNumberFormat="1" applyFont="1" applyFill="1" applyBorder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3" fontId="4" fillId="0" borderId="0" xfId="53" applyNumberFormat="1" applyFont="1" applyFill="1" applyBorder="1" applyProtection="1">
      <alignment/>
      <protection locked="0"/>
    </xf>
    <xf numFmtId="164" fontId="3" fillId="0" borderId="0" xfId="53" applyNumberFormat="1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" fillId="0" borderId="54" xfId="53" applyFont="1" applyFill="1" applyBorder="1" applyProtection="1">
      <alignment/>
      <protection locked="0"/>
    </xf>
    <xf numFmtId="167" fontId="4" fillId="0" borderId="0" xfId="78" applyNumberFormat="1" applyFont="1" applyFill="1" applyBorder="1" applyAlignment="1" applyProtection="1">
      <alignment/>
      <protection locked="0"/>
    </xf>
    <xf numFmtId="167" fontId="4" fillId="0" borderId="0" xfId="78" applyNumberFormat="1" applyFont="1" applyFill="1" applyBorder="1" applyAlignment="1" applyProtection="1">
      <alignment horizontal="center"/>
      <protection locked="0"/>
    </xf>
    <xf numFmtId="3" fontId="4" fillId="0" borderId="0" xfId="78" applyNumberFormat="1" applyFont="1" applyFill="1" applyBorder="1" applyAlignment="1" applyProtection="1">
      <alignment/>
      <protection locked="0"/>
    </xf>
    <xf numFmtId="3" fontId="4" fillId="0" borderId="0" xfId="78" applyNumberFormat="1" applyFont="1" applyFill="1" applyBorder="1" applyAlignment="1" applyProtection="1">
      <alignment horizontal="center"/>
      <protection locked="0"/>
    </xf>
    <xf numFmtId="0" fontId="9" fillId="0" borderId="0" xfId="53" applyFont="1" applyFill="1" applyBorder="1" applyProtection="1">
      <alignment/>
      <protection locked="0"/>
    </xf>
    <xf numFmtId="169" fontId="4" fillId="0" borderId="0" xfId="53" applyNumberFormat="1" applyFont="1" applyFill="1" applyBorder="1" applyProtection="1">
      <alignment/>
      <protection locked="0"/>
    </xf>
    <xf numFmtId="168" fontId="3" fillId="0" borderId="0" xfId="53" applyNumberFormat="1" applyFont="1" applyFill="1" applyBorder="1" applyProtection="1">
      <alignment/>
      <protection locked="0"/>
    </xf>
    <xf numFmtId="0" fontId="12" fillId="9" borderId="15" xfId="0" applyFont="1" applyFill="1" applyBorder="1" applyAlignment="1" applyProtection="1">
      <alignment horizontal="center"/>
      <protection/>
    </xf>
    <xf numFmtId="0" fontId="12" fillId="9" borderId="60" xfId="0" applyFont="1" applyFill="1" applyBorder="1" applyAlignment="1" applyProtection="1">
      <alignment horizontal="left"/>
      <protection/>
    </xf>
    <xf numFmtId="0" fontId="11" fillId="9" borderId="12" xfId="0" applyFont="1" applyFill="1" applyBorder="1" applyAlignment="1" applyProtection="1">
      <alignment horizontal="center"/>
      <protection/>
    </xf>
    <xf numFmtId="0" fontId="11" fillId="9" borderId="53" xfId="0" applyFont="1" applyFill="1" applyBorder="1" applyAlignment="1" applyProtection="1">
      <alignment horizontal="left"/>
      <protection/>
    </xf>
    <xf numFmtId="0" fontId="14" fillId="9" borderId="55" xfId="0" applyFont="1" applyFill="1" applyBorder="1" applyAlignment="1" applyProtection="1">
      <alignment horizontal="center"/>
      <protection/>
    </xf>
    <xf numFmtId="0" fontId="13" fillId="0" borderId="15" xfId="53" applyFont="1" applyFill="1" applyBorder="1" applyProtection="1">
      <alignment/>
      <protection/>
    </xf>
    <xf numFmtId="3" fontId="13" fillId="0" borderId="42" xfId="53" applyNumberFormat="1" applyFont="1" applyFill="1" applyBorder="1" applyProtection="1">
      <alignment/>
      <protection/>
    </xf>
    <xf numFmtId="3" fontId="3" fillId="0" borderId="16" xfId="53" applyNumberFormat="1" applyFont="1" applyFill="1" applyBorder="1" applyProtection="1">
      <alignment/>
      <protection/>
    </xf>
    <xf numFmtId="3" fontId="3" fillId="0" borderId="17" xfId="53" applyNumberFormat="1" applyFont="1" applyFill="1" applyBorder="1" applyProtection="1">
      <alignment/>
      <protection/>
    </xf>
    <xf numFmtId="0" fontId="3" fillId="17" borderId="1" xfId="53" applyFont="1" applyFill="1" applyBorder="1" applyProtection="1">
      <alignment/>
      <protection/>
    </xf>
    <xf numFmtId="0" fontId="14" fillId="17" borderId="1" xfId="53" applyFont="1" applyFill="1" applyBorder="1" applyAlignment="1" applyProtection="1">
      <alignment horizontal="left"/>
      <protection/>
    </xf>
    <xf numFmtId="3" fontId="14" fillId="17" borderId="33" xfId="53" applyNumberFormat="1" applyFont="1" applyFill="1" applyBorder="1" applyProtection="1">
      <alignment/>
      <protection/>
    </xf>
    <xf numFmtId="3" fontId="4" fillId="17" borderId="0" xfId="53" applyNumberFormat="1" applyFont="1" applyFill="1" applyBorder="1" applyProtection="1">
      <alignment/>
      <protection/>
    </xf>
    <xf numFmtId="3" fontId="4" fillId="17" borderId="11" xfId="53" applyNumberFormat="1" applyFont="1" applyFill="1" applyBorder="1" applyProtection="1">
      <alignment/>
      <protection/>
    </xf>
    <xf numFmtId="0" fontId="13" fillId="0" borderId="15" xfId="53" applyFont="1" applyFill="1" applyBorder="1" applyAlignment="1" applyProtection="1">
      <alignment wrapText="1"/>
      <protection/>
    </xf>
    <xf numFmtId="0" fontId="13" fillId="0" borderId="1" xfId="53" applyFont="1" applyFill="1" applyBorder="1" applyProtection="1">
      <alignment/>
      <protection/>
    </xf>
    <xf numFmtId="3" fontId="13" fillId="0" borderId="33" xfId="53" applyNumberFormat="1" applyFont="1" applyFill="1" applyBorder="1" applyProtection="1">
      <alignment/>
      <protection/>
    </xf>
    <xf numFmtId="3" fontId="3" fillId="0" borderId="0" xfId="53" applyNumberFormat="1" applyFont="1" applyFill="1" applyBorder="1" applyProtection="1">
      <alignment/>
      <protection/>
    </xf>
    <xf numFmtId="3" fontId="3" fillId="0" borderId="11" xfId="53" applyNumberFormat="1" applyFont="1" applyFill="1" applyBorder="1" applyProtection="1">
      <alignment/>
      <protection/>
    </xf>
    <xf numFmtId="0" fontId="3" fillId="17" borderId="12" xfId="53" applyFont="1" applyFill="1" applyBorder="1" applyProtection="1">
      <alignment/>
      <protection/>
    </xf>
    <xf numFmtId="0" fontId="14" fillId="17" borderId="12" xfId="53" applyFont="1" applyFill="1" applyBorder="1" applyAlignment="1" applyProtection="1">
      <alignment horizontal="left"/>
      <protection/>
    </xf>
    <xf numFmtId="3" fontId="14" fillId="17" borderId="57" xfId="53" applyNumberFormat="1" applyFont="1" applyFill="1" applyBorder="1" applyProtection="1">
      <alignment/>
      <protection/>
    </xf>
    <xf numFmtId="3" fontId="4" fillId="17" borderId="13" xfId="53" applyNumberFormat="1" applyFont="1" applyFill="1" applyBorder="1" applyProtection="1">
      <alignment/>
      <protection/>
    </xf>
    <xf numFmtId="3" fontId="4" fillId="17" borderId="19" xfId="53" applyNumberFormat="1" applyFont="1" applyFill="1" applyBorder="1" applyProtection="1">
      <alignment/>
      <protection/>
    </xf>
    <xf numFmtId="0" fontId="13" fillId="0" borderId="1" xfId="53" applyFont="1" applyFill="1" applyBorder="1" applyProtection="1" quotePrefix="1">
      <alignment/>
      <protection/>
    </xf>
    <xf numFmtId="9" fontId="14" fillId="0" borderId="33" xfId="53" applyNumberFormat="1" applyFont="1" applyFill="1" applyBorder="1" applyAlignment="1" applyProtection="1">
      <alignment horizontal="center"/>
      <protection/>
    </xf>
    <xf numFmtId="4" fontId="3" fillId="0" borderId="0" xfId="53" applyNumberFormat="1" applyFont="1" applyFill="1" applyBorder="1" applyProtection="1">
      <alignment/>
      <protection/>
    </xf>
    <xf numFmtId="4" fontId="3" fillId="0" borderId="11" xfId="53" applyNumberFormat="1" applyFont="1" applyFill="1" applyBorder="1" applyProtection="1">
      <alignment/>
      <protection/>
    </xf>
    <xf numFmtId="3" fontId="13" fillId="0" borderId="12" xfId="53" applyNumberFormat="1" applyFont="1" applyFill="1" applyBorder="1" applyProtection="1" quotePrefix="1">
      <alignment/>
      <protection/>
    </xf>
    <xf numFmtId="3" fontId="13" fillId="0" borderId="12" xfId="53" applyNumberFormat="1" applyFont="1" applyFill="1" applyBorder="1" applyProtection="1">
      <alignment/>
      <protection/>
    </xf>
    <xf numFmtId="3" fontId="13" fillId="0" borderId="57" xfId="53" applyNumberFormat="1" applyFont="1" applyFill="1" applyBorder="1" applyProtection="1">
      <alignment/>
      <protection/>
    </xf>
    <xf numFmtId="3" fontId="4" fillId="0" borderId="13" xfId="53" applyNumberFormat="1" applyFont="1" applyFill="1" applyBorder="1" applyProtection="1">
      <alignment/>
      <protection/>
    </xf>
    <xf numFmtId="3" fontId="4" fillId="0" borderId="19" xfId="53" applyNumberFormat="1" applyFont="1" applyFill="1" applyBorder="1" applyProtection="1">
      <alignment/>
      <protection/>
    </xf>
    <xf numFmtId="0" fontId="11" fillId="9" borderId="54" xfId="0" applyFont="1" applyFill="1" applyBorder="1" applyAlignment="1" applyProtection="1">
      <alignment horizontal="left"/>
      <protection/>
    </xf>
    <xf numFmtId="0" fontId="13" fillId="0" borderId="16" xfId="53" applyFont="1" applyFill="1" applyBorder="1" applyProtection="1" quotePrefix="1">
      <alignment/>
      <protection/>
    </xf>
    <xf numFmtId="4" fontId="13" fillId="0" borderId="42" xfId="53" applyNumberFormat="1" applyFont="1" applyFill="1" applyBorder="1" applyProtection="1">
      <alignment/>
      <protection/>
    </xf>
    <xf numFmtId="0" fontId="14" fillId="17" borderId="0" xfId="53" applyFont="1" applyFill="1" applyBorder="1" applyProtection="1">
      <alignment/>
      <protection/>
    </xf>
    <xf numFmtId="4" fontId="14" fillId="17" borderId="33" xfId="53" applyNumberFormat="1" applyFont="1" applyFill="1" applyBorder="1" applyProtection="1">
      <alignment/>
      <protection/>
    </xf>
    <xf numFmtId="3" fontId="3" fillId="0" borderId="15" xfId="53" applyNumberFormat="1" applyFont="1" applyFill="1" applyBorder="1" applyProtection="1">
      <alignment/>
      <protection/>
    </xf>
    <xf numFmtId="0" fontId="13" fillId="0" borderId="0" xfId="53" applyFont="1" applyFill="1" applyBorder="1" applyProtection="1" quotePrefix="1">
      <alignment/>
      <protection/>
    </xf>
    <xf numFmtId="4" fontId="13" fillId="0" borderId="33" xfId="53" applyNumberFormat="1" applyFont="1" applyFill="1" applyBorder="1" applyProtection="1">
      <alignment/>
      <protection/>
    </xf>
    <xf numFmtId="0" fontId="14" fillId="17" borderId="13" xfId="53" applyFont="1" applyFill="1" applyBorder="1" applyProtection="1">
      <alignment/>
      <protection/>
    </xf>
    <xf numFmtId="4" fontId="14" fillId="17" borderId="57" xfId="53" applyNumberFormat="1" applyFont="1" applyFill="1" applyBorder="1" applyProtection="1">
      <alignment/>
      <protection/>
    </xf>
    <xf numFmtId="4" fontId="14" fillId="17" borderId="33" xfId="53" applyNumberFormat="1" applyFont="1" applyFill="1" applyBorder="1" applyAlignment="1" applyProtection="1">
      <alignment horizontal="right"/>
      <protection/>
    </xf>
    <xf numFmtId="3" fontId="4" fillId="17" borderId="0" xfId="53" applyNumberFormat="1" applyFont="1" applyFill="1" applyBorder="1" applyAlignment="1" applyProtection="1">
      <alignment horizontal="right"/>
      <protection/>
    </xf>
    <xf numFmtId="0" fontId="13" fillId="0" borderId="0" xfId="53" applyFont="1" applyFill="1" applyBorder="1" applyProtection="1">
      <alignment/>
      <protection/>
    </xf>
    <xf numFmtId="9" fontId="14" fillId="0" borderId="33" xfId="78" applyFont="1" applyFill="1" applyBorder="1" applyAlignment="1" applyProtection="1">
      <alignment horizontal="center"/>
      <protection/>
    </xf>
    <xf numFmtId="4" fontId="3" fillId="0" borderId="0" xfId="53" applyNumberFormat="1" applyFont="1" applyFill="1" applyBorder="1" applyAlignment="1" applyProtection="1">
      <alignment horizontal="right"/>
      <protection/>
    </xf>
    <xf numFmtId="3" fontId="13" fillId="0" borderId="13" xfId="53" applyNumberFormat="1" applyFont="1" applyFill="1" applyBorder="1" applyProtection="1">
      <alignment/>
      <protection/>
    </xf>
    <xf numFmtId="3" fontId="14" fillId="0" borderId="57" xfId="53" applyNumberFormat="1" applyFont="1" applyFill="1" applyBorder="1" applyAlignment="1" applyProtection="1">
      <alignment horizontal="right"/>
      <protection/>
    </xf>
    <xf numFmtId="3" fontId="4" fillId="0" borderId="13" xfId="53" applyNumberFormat="1" applyFont="1" applyFill="1" applyBorder="1" applyAlignment="1" applyProtection="1">
      <alignment horizontal="right"/>
      <protection/>
    </xf>
    <xf numFmtId="3" fontId="14" fillId="0" borderId="57" xfId="53" applyNumberFormat="1" applyFont="1" applyFill="1" applyBorder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" fontId="12" fillId="9" borderId="39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6" fontId="14" fillId="0" borderId="1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16" fontId="1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3" fontId="14" fillId="0" borderId="57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/>
      <protection/>
    </xf>
    <xf numFmtId="16" fontId="12" fillId="13" borderId="39" xfId="0" applyNumberFormat="1" applyFont="1" applyFill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16" fontId="12" fillId="3" borderId="39" xfId="0" applyNumberFormat="1" applyFont="1" applyFill="1" applyBorder="1" applyAlignment="1" applyProtection="1">
      <alignment horizontal="center"/>
      <protection/>
    </xf>
    <xf numFmtId="0" fontId="15" fillId="3" borderId="54" xfId="0" applyFont="1" applyFill="1" applyBorder="1" applyAlignment="1" applyProtection="1">
      <alignment horizontal="left"/>
      <protection/>
    </xf>
    <xf numFmtId="0" fontId="14" fillId="3" borderId="55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3" fontId="21" fillId="0" borderId="33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3" fontId="14" fillId="0" borderId="22" xfId="0" applyNumberFormat="1" applyFont="1" applyBorder="1" applyAlignment="1" applyProtection="1">
      <alignment/>
      <protection/>
    </xf>
    <xf numFmtId="3" fontId="3" fillId="0" borderId="47" xfId="0" applyNumberFormat="1" applyFont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/>
      <protection/>
    </xf>
    <xf numFmtId="3" fontId="3" fillId="0" borderId="49" xfId="0" applyNumberFormat="1" applyFont="1" applyBorder="1" applyAlignment="1" applyProtection="1">
      <alignment/>
      <protection/>
    </xf>
    <xf numFmtId="3" fontId="14" fillId="0" borderId="17" xfId="0" applyNumberFormat="1" applyFont="1" applyFill="1" applyBorder="1" applyAlignment="1" applyProtection="1">
      <alignment/>
      <protection/>
    </xf>
    <xf numFmtId="3" fontId="14" fillId="0" borderId="11" xfId="0" applyNumberFormat="1" applyFont="1" applyFill="1" applyBorder="1" applyAlignment="1" applyProtection="1">
      <alignment/>
      <protection/>
    </xf>
    <xf numFmtId="0" fontId="22" fillId="0" borderId="15" xfId="53" applyFont="1" applyBorder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0" xfId="53" applyFont="1" applyBorder="1" applyProtection="1">
      <alignment/>
      <protection locked="0"/>
    </xf>
    <xf numFmtId="9" fontId="3" fillId="0" borderId="0" xfId="78" applyFont="1" applyBorder="1" applyAlignment="1" applyProtection="1">
      <alignment/>
      <protection locked="0"/>
    </xf>
    <xf numFmtId="168" fontId="3" fillId="0" borderId="0" xfId="53" applyNumberFormat="1" applyFont="1" applyBorder="1" applyProtection="1">
      <alignment/>
      <protection locked="0"/>
    </xf>
    <xf numFmtId="3" fontId="3" fillId="0" borderId="0" xfId="53" applyNumberFormat="1" applyFont="1" applyBorder="1" applyProtection="1">
      <alignment/>
      <protection locked="0"/>
    </xf>
    <xf numFmtId="0" fontId="4" fillId="0" borderId="0" xfId="53" applyFont="1" applyBorder="1" applyProtection="1">
      <alignment/>
      <protection locked="0"/>
    </xf>
    <xf numFmtId="0" fontId="3" fillId="0" borderId="0" xfId="53" applyFont="1" applyBorder="1" applyProtection="1" quotePrefix="1">
      <alignment/>
      <protection locked="0"/>
    </xf>
    <xf numFmtId="3" fontId="3" fillId="0" borderId="0" xfId="53" applyNumberFormat="1" applyFont="1" applyBorder="1" applyProtection="1" quotePrefix="1">
      <alignment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1" fillId="9" borderId="58" xfId="0" applyFont="1" applyFill="1" applyBorder="1" applyAlignment="1" applyProtection="1">
      <alignment horizontal="left"/>
      <protection/>
    </xf>
    <xf numFmtId="0" fontId="14" fillId="0" borderId="1" xfId="53" applyFont="1" applyBorder="1" applyAlignment="1" applyProtection="1">
      <alignment horizontal="center"/>
      <protection/>
    </xf>
    <xf numFmtId="0" fontId="13" fillId="0" borderId="16" xfId="53" applyFont="1" applyFill="1" applyBorder="1" applyAlignment="1" applyProtection="1">
      <alignment wrapText="1"/>
      <protection/>
    </xf>
    <xf numFmtId="3" fontId="14" fillId="0" borderId="65" xfId="53" applyNumberFormat="1" applyFont="1" applyBorder="1" applyProtection="1">
      <alignment/>
      <protection/>
    </xf>
    <xf numFmtId="3" fontId="3" fillId="0" borderId="15" xfId="53" applyNumberFormat="1" applyFont="1" applyBorder="1" applyProtection="1">
      <alignment/>
      <protection/>
    </xf>
    <xf numFmtId="3" fontId="3" fillId="0" borderId="16" xfId="53" applyNumberFormat="1" applyFont="1" applyBorder="1" applyProtection="1">
      <alignment/>
      <protection/>
    </xf>
    <xf numFmtId="3" fontId="3" fillId="0" borderId="17" xfId="53" applyNumberFormat="1" applyFont="1" applyBorder="1" applyProtection="1">
      <alignment/>
      <protection/>
    </xf>
    <xf numFmtId="3" fontId="14" fillId="0" borderId="36" xfId="53" applyNumberFormat="1" applyFont="1" applyBorder="1" applyProtection="1">
      <alignment/>
      <protection/>
    </xf>
    <xf numFmtId="3" fontId="3" fillId="0" borderId="1" xfId="53" applyNumberFormat="1" applyFont="1" applyBorder="1" applyProtection="1">
      <alignment/>
      <protection/>
    </xf>
    <xf numFmtId="3" fontId="3" fillId="0" borderId="0" xfId="53" applyNumberFormat="1" applyFont="1" applyBorder="1" applyProtection="1">
      <alignment/>
      <protection/>
    </xf>
    <xf numFmtId="3" fontId="3" fillId="0" borderId="11" xfId="53" applyNumberFormat="1" applyFont="1" applyBorder="1" applyProtection="1">
      <alignment/>
      <protection/>
    </xf>
    <xf numFmtId="0" fontId="13" fillId="0" borderId="0" xfId="53" applyFont="1" applyBorder="1" applyAlignment="1" applyProtection="1">
      <alignment wrapText="1"/>
      <protection/>
    </xf>
    <xf numFmtId="3" fontId="3" fillId="0" borderId="1" xfId="53" applyNumberFormat="1" applyFont="1" applyFill="1" applyBorder="1" applyProtection="1">
      <alignment/>
      <protection/>
    </xf>
    <xf numFmtId="0" fontId="13" fillId="0" borderId="0" xfId="53" applyFont="1" applyBorder="1" applyProtection="1">
      <alignment/>
      <protection/>
    </xf>
    <xf numFmtId="0" fontId="14" fillId="0" borderId="1" xfId="53" applyFont="1" applyBorder="1" applyProtection="1">
      <alignment/>
      <protection/>
    </xf>
    <xf numFmtId="9" fontId="14" fillId="0" borderId="36" xfId="53" applyNumberFormat="1" applyFont="1" applyFill="1" applyBorder="1" applyProtection="1">
      <alignment/>
      <protection/>
    </xf>
    <xf numFmtId="166" fontId="3" fillId="0" borderId="1" xfId="53" applyNumberFormat="1" applyFont="1" applyBorder="1" applyProtection="1">
      <alignment/>
      <protection/>
    </xf>
    <xf numFmtId="4" fontId="3" fillId="0" borderId="0" xfId="53" applyNumberFormat="1" applyFont="1" applyBorder="1" applyProtection="1">
      <alignment/>
      <protection/>
    </xf>
    <xf numFmtId="4" fontId="3" fillId="0" borderId="11" xfId="53" applyNumberFormat="1" applyFont="1" applyBorder="1" applyProtection="1">
      <alignment/>
      <protection/>
    </xf>
    <xf numFmtId="0" fontId="14" fillId="0" borderId="12" xfId="53" applyFont="1" applyBorder="1" applyAlignment="1" applyProtection="1">
      <alignment horizontal="center"/>
      <protection/>
    </xf>
    <xf numFmtId="0" fontId="13" fillId="0" borderId="13" xfId="53" applyFont="1" applyBorder="1" applyProtection="1">
      <alignment/>
      <protection/>
    </xf>
    <xf numFmtId="3" fontId="14" fillId="0" borderId="73" xfId="53" applyNumberFormat="1" applyFont="1" applyBorder="1" applyProtection="1">
      <alignment/>
      <protection/>
    </xf>
    <xf numFmtId="3" fontId="3" fillId="0" borderId="12" xfId="53" applyNumberFormat="1" applyFont="1" applyFill="1" applyBorder="1" applyProtection="1">
      <alignment/>
      <protection/>
    </xf>
    <xf numFmtId="3" fontId="3" fillId="0" borderId="13" xfId="53" applyNumberFormat="1" applyFont="1" applyFill="1" applyBorder="1" applyProtection="1">
      <alignment/>
      <protection/>
    </xf>
    <xf numFmtId="3" fontId="3" fillId="0" borderId="19" xfId="53" applyNumberFormat="1" applyFont="1" applyFill="1" applyBorder="1" applyProtection="1">
      <alignment/>
      <protection/>
    </xf>
    <xf numFmtId="0" fontId="11" fillId="9" borderId="13" xfId="0" applyFont="1" applyFill="1" applyBorder="1" applyAlignment="1" applyProtection="1">
      <alignment horizontal="left"/>
      <protection/>
    </xf>
    <xf numFmtId="0" fontId="14" fillId="9" borderId="19" xfId="0" applyFont="1" applyFill="1" applyBorder="1" applyAlignment="1" applyProtection="1">
      <alignment horizontal="center"/>
      <protection/>
    </xf>
    <xf numFmtId="4" fontId="3" fillId="0" borderId="16" xfId="53" applyNumberFormat="1" applyFont="1" applyBorder="1" applyProtection="1">
      <alignment/>
      <protection/>
    </xf>
    <xf numFmtId="4" fontId="3" fillId="0" borderId="0" xfId="53" applyNumberFormat="1" applyFont="1" applyBorder="1" applyProtection="1" quotePrefix="1">
      <alignment/>
      <protection/>
    </xf>
    <xf numFmtId="9" fontId="14" fillId="0" borderId="11" xfId="53" applyNumberFormat="1" applyFont="1" applyFill="1" applyBorder="1" applyProtection="1">
      <alignment/>
      <protection/>
    </xf>
    <xf numFmtId="4" fontId="3" fillId="0" borderId="1" xfId="53" applyNumberFormat="1" applyFont="1" applyBorder="1" applyProtection="1">
      <alignment/>
      <protection/>
    </xf>
    <xf numFmtId="3" fontId="3" fillId="0" borderId="13" xfId="53" applyNumberFormat="1" applyFont="1" applyBorder="1" applyProtection="1">
      <alignment/>
      <protection/>
    </xf>
    <xf numFmtId="16" fontId="12" fillId="9" borderId="14" xfId="53" applyNumberFormat="1" applyFont="1" applyFill="1" applyBorder="1" applyAlignment="1" applyProtection="1">
      <alignment horizontal="center" vertical="center"/>
      <protection/>
    </xf>
    <xf numFmtId="0" fontId="12" fillId="9" borderId="48" xfId="53" applyFont="1" applyFill="1" applyBorder="1" applyAlignment="1" applyProtection="1">
      <alignment horizontal="left" vertical="center"/>
      <protection/>
    </xf>
    <xf numFmtId="0" fontId="12" fillId="9" borderId="21" xfId="53" applyFont="1" applyFill="1" applyBorder="1" applyAlignment="1" applyProtection="1">
      <alignment horizontal="center" vertical="center"/>
      <protection/>
    </xf>
    <xf numFmtId="2" fontId="12" fillId="9" borderId="49" xfId="53" applyNumberFormat="1" applyFont="1" applyFill="1" applyBorder="1" applyAlignment="1" applyProtection="1">
      <alignment horizontal="center" vertical="center"/>
      <protection/>
    </xf>
    <xf numFmtId="0" fontId="3" fillId="0" borderId="15" xfId="53" applyFont="1" applyBorder="1" applyProtection="1">
      <alignment/>
      <protection/>
    </xf>
    <xf numFmtId="0" fontId="14" fillId="0" borderId="16" xfId="53" applyFont="1" applyBorder="1" applyProtection="1">
      <alignment/>
      <protection/>
    </xf>
    <xf numFmtId="0" fontId="3" fillId="0" borderId="16" xfId="53" applyFont="1" applyBorder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0" fontId="3" fillId="0" borderId="1" xfId="53" applyFont="1" applyBorder="1" applyProtection="1">
      <alignment/>
      <protection/>
    </xf>
    <xf numFmtId="0" fontId="14" fillId="0" borderId="0" xfId="53" applyFont="1" applyFill="1" applyBorder="1" applyProtection="1">
      <alignment/>
      <protection/>
    </xf>
    <xf numFmtId="0" fontId="3" fillId="0" borderId="0" xfId="53" applyFont="1" applyBorder="1" applyProtection="1">
      <alignment/>
      <protection/>
    </xf>
    <xf numFmtId="10" fontId="4" fillId="0" borderId="38" xfId="78" applyNumberFormat="1" applyFont="1" applyFill="1" applyBorder="1" applyAlignment="1" applyProtection="1">
      <alignment horizontal="center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14" fillId="0" borderId="0" xfId="53" applyFont="1" applyBorder="1" applyProtection="1">
      <alignment/>
      <protection/>
    </xf>
    <xf numFmtId="3" fontId="4" fillId="0" borderId="38" xfId="37" applyNumberFormat="1" applyFont="1" applyFill="1" applyBorder="1" applyAlignment="1" applyProtection="1">
      <alignment horizontal="center"/>
      <protection/>
    </xf>
    <xf numFmtId="10" fontId="10" fillId="0" borderId="38" xfId="53" applyNumberFormat="1" applyFont="1" applyFill="1" applyBorder="1" applyAlignment="1" applyProtection="1">
      <alignment horizontal="center"/>
      <protection/>
    </xf>
    <xf numFmtId="0" fontId="3" fillId="0" borderId="12" xfId="53" applyFont="1" applyBorder="1" applyProtection="1">
      <alignment/>
      <protection/>
    </xf>
    <xf numFmtId="0" fontId="14" fillId="0" borderId="13" xfId="53" applyFont="1" applyBorder="1" applyProtection="1">
      <alignment/>
      <protection/>
    </xf>
    <xf numFmtId="0" fontId="3" fillId="0" borderId="13" xfId="53" applyFont="1" applyBorder="1" applyProtection="1">
      <alignment/>
      <protection/>
    </xf>
    <xf numFmtId="3" fontId="4" fillId="0" borderId="74" xfId="53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16" fontId="12" fillId="17" borderId="14" xfId="53" applyNumberFormat="1" applyFont="1" applyFill="1" applyBorder="1" applyAlignment="1" applyProtection="1">
      <alignment horizontal="center" vertical="center"/>
      <protection/>
    </xf>
    <xf numFmtId="0" fontId="12" fillId="17" borderId="48" xfId="53" applyFont="1" applyFill="1" applyBorder="1" applyAlignment="1" applyProtection="1">
      <alignment horizontal="left" vertical="center"/>
      <protection/>
    </xf>
    <xf numFmtId="0" fontId="12" fillId="17" borderId="21" xfId="53" applyFont="1" applyFill="1" applyBorder="1" applyAlignment="1" applyProtection="1">
      <alignment horizontal="center" vertical="center"/>
      <protection/>
    </xf>
    <xf numFmtId="2" fontId="12" fillId="17" borderId="49" xfId="53" applyNumberFormat="1" applyFont="1" applyFill="1" applyBorder="1" applyAlignment="1" applyProtection="1">
      <alignment horizontal="center" vertical="center"/>
      <protection/>
    </xf>
    <xf numFmtId="3" fontId="4" fillId="0" borderId="37" xfId="53" applyNumberFormat="1" applyFont="1" applyBorder="1" applyAlignment="1" applyProtection="1">
      <alignment horizontal="center"/>
      <protection/>
    </xf>
    <xf numFmtId="10" fontId="4" fillId="0" borderId="38" xfId="53" applyNumberFormat="1" applyFont="1" applyBorder="1" applyAlignment="1" applyProtection="1">
      <alignment horizontal="center"/>
      <protection/>
    </xf>
    <xf numFmtId="0" fontId="22" fillId="0" borderId="1" xfId="53" applyFont="1" applyBorder="1" applyProtection="1">
      <alignment/>
      <protection/>
    </xf>
    <xf numFmtId="0" fontId="3" fillId="0" borderId="11" xfId="53" applyFont="1" applyBorder="1" applyProtection="1">
      <alignment/>
      <protection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 horizontal="right"/>
      <protection locked="0"/>
    </xf>
    <xf numFmtId="3" fontId="3" fillId="8" borderId="17" xfId="0" applyNumberFormat="1" applyFont="1" applyFill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 horizontal="right"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3" fontId="3" fillId="8" borderId="19" xfId="0" applyNumberFormat="1" applyFont="1" applyFill="1" applyBorder="1" applyAlignment="1" applyProtection="1">
      <alignment/>
      <protection locked="0"/>
    </xf>
    <xf numFmtId="3" fontId="4" fillId="8" borderId="1" xfId="0" applyNumberFormat="1" applyFont="1" applyFill="1" applyBorder="1" applyAlignment="1" applyProtection="1">
      <alignment/>
      <protection locked="0"/>
    </xf>
    <xf numFmtId="3" fontId="4" fillId="8" borderId="0" xfId="0" applyNumberFormat="1" applyFont="1" applyFill="1" applyBorder="1" applyAlignment="1" applyProtection="1">
      <alignment/>
      <protection locked="0"/>
    </xf>
    <xf numFmtId="3" fontId="4" fillId="8" borderId="11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16" fontId="12" fillId="9" borderId="15" xfId="0" applyNumberFormat="1" applyFont="1" applyFill="1" applyBorder="1" applyAlignment="1" applyProtection="1">
      <alignment horizontal="center"/>
      <protection/>
    </xf>
    <xf numFmtId="0" fontId="12" fillId="9" borderId="60" xfId="0" applyFont="1" applyFill="1" applyBorder="1" applyAlignment="1" applyProtection="1">
      <alignment/>
      <protection/>
    </xf>
    <xf numFmtId="178" fontId="0" fillId="9" borderId="68" xfId="0" applyNumberFormat="1" applyFont="1" applyFill="1" applyBorder="1" applyAlignment="1" applyProtection="1">
      <alignment horizontal="center"/>
      <protection/>
    </xf>
    <xf numFmtId="0" fontId="12" fillId="9" borderId="12" xfId="0" applyFont="1" applyFill="1" applyBorder="1" applyAlignment="1" applyProtection="1">
      <alignment horizontal="center"/>
      <protection/>
    </xf>
    <xf numFmtId="175" fontId="0" fillId="9" borderId="12" xfId="0" applyNumberFormat="1" applyFont="1" applyFill="1" applyBorder="1" applyAlignment="1" applyProtection="1">
      <alignment horizontal="left"/>
      <protection/>
    </xf>
    <xf numFmtId="0" fontId="14" fillId="9" borderId="57" xfId="0" applyFont="1" applyFill="1" applyBorder="1" applyAlignment="1" applyProtection="1">
      <alignment horizontal="center"/>
      <protection/>
    </xf>
    <xf numFmtId="3" fontId="13" fillId="0" borderId="42" xfId="0" applyNumberFormat="1" applyFont="1" applyBorder="1" applyAlignment="1" applyProtection="1">
      <alignment/>
      <protection/>
    </xf>
    <xf numFmtId="3" fontId="13" fillId="0" borderId="33" xfId="0" applyNumberFormat="1" applyFont="1" applyBorder="1" applyAlignment="1" applyProtection="1">
      <alignment/>
      <protection/>
    </xf>
    <xf numFmtId="0" fontId="15" fillId="17" borderId="1" xfId="0" applyFont="1" applyFill="1" applyBorder="1" applyAlignment="1" applyProtection="1">
      <alignment/>
      <protection/>
    </xf>
    <xf numFmtId="16" fontId="14" fillId="17" borderId="1" xfId="0" applyNumberFormat="1" applyFont="1" applyFill="1" applyBorder="1" applyAlignment="1" applyProtection="1">
      <alignment/>
      <protection/>
    </xf>
    <xf numFmtId="3" fontId="14" fillId="17" borderId="33" xfId="0" applyNumberFormat="1" applyFont="1" applyFill="1" applyBorder="1" applyAlignment="1" applyProtection="1">
      <alignment/>
      <protection/>
    </xf>
    <xf numFmtId="0" fontId="13" fillId="0" borderId="53" xfId="0" applyFont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/>
    </xf>
    <xf numFmtId="3" fontId="14" fillId="0" borderId="55" xfId="0" applyNumberFormat="1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3" fontId="14" fillId="0" borderId="33" xfId="0" applyNumberFormat="1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14" fillId="0" borderId="34" xfId="0" applyFont="1" applyFill="1" applyBorder="1" applyAlignment="1" applyProtection="1">
      <alignment/>
      <protection/>
    </xf>
    <xf numFmtId="3" fontId="14" fillId="0" borderId="25" xfId="0" applyNumberFormat="1" applyFont="1" applyFill="1" applyBorder="1" applyAlignment="1" applyProtection="1">
      <alignment/>
      <protection/>
    </xf>
    <xf numFmtId="0" fontId="15" fillId="17" borderId="60" xfId="0" applyFont="1" applyFill="1" applyBorder="1" applyAlignment="1" applyProtection="1">
      <alignment/>
      <protection/>
    </xf>
    <xf numFmtId="0" fontId="18" fillId="17" borderId="60" xfId="0" applyFont="1" applyFill="1" applyBorder="1" applyAlignment="1" applyProtection="1">
      <alignment/>
      <protection/>
    </xf>
    <xf numFmtId="3" fontId="14" fillId="17" borderId="68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18" fillId="0" borderId="1" xfId="0" applyFont="1" applyFill="1" applyBorder="1" applyAlignment="1" applyProtection="1">
      <alignment/>
      <protection/>
    </xf>
    <xf numFmtId="0" fontId="18" fillId="0" borderId="34" xfId="0" applyFont="1" applyFill="1" applyBorder="1" applyAlignment="1" applyProtection="1">
      <alignment/>
      <protection/>
    </xf>
    <xf numFmtId="0" fontId="15" fillId="17" borderId="12" xfId="0" applyFont="1" applyFill="1" applyBorder="1" applyAlignment="1" applyProtection="1">
      <alignment/>
      <protection/>
    </xf>
    <xf numFmtId="3" fontId="14" fillId="17" borderId="57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11" fillId="0" borderId="49" xfId="76" applyFont="1" applyBorder="1" applyAlignment="1" applyProtection="1">
      <alignment horizontal="center"/>
      <protection/>
    </xf>
    <xf numFmtId="0" fontId="11" fillId="0" borderId="17" xfId="76" applyFont="1" applyBorder="1" applyAlignment="1" applyProtection="1">
      <alignment horizontal="center"/>
      <protection/>
    </xf>
    <xf numFmtId="0" fontId="11" fillId="0" borderId="11" xfId="76" applyFont="1" applyBorder="1" applyAlignment="1" applyProtection="1">
      <alignment horizontal="center"/>
      <protection/>
    </xf>
    <xf numFmtId="0" fontId="11" fillId="0" borderId="19" xfId="76" applyFont="1" applyBorder="1" applyAlignment="1" applyProtection="1">
      <alignment horizontal="center"/>
      <protection/>
    </xf>
    <xf numFmtId="0" fontId="12" fillId="9" borderId="40" xfId="0" applyFont="1" applyFill="1" applyBorder="1" applyAlignment="1" applyProtection="1">
      <alignment/>
      <protection/>
    </xf>
    <xf numFmtId="175" fontId="0" fillId="9" borderId="13" xfId="0" applyNumberFormat="1" applyFont="1" applyFill="1" applyBorder="1" applyAlignment="1" applyProtection="1">
      <alignment horizontal="left"/>
      <protection/>
    </xf>
    <xf numFmtId="16" fontId="14" fillId="0" borderId="0" xfId="0" applyNumberFormat="1" applyFont="1" applyFill="1" applyBorder="1" applyAlignment="1" applyProtection="1">
      <alignment/>
      <protection/>
    </xf>
    <xf numFmtId="0" fontId="13" fillId="0" borderId="54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8" fillId="0" borderId="40" xfId="0" applyFont="1" applyFill="1" applyBorder="1" applyAlignment="1" applyProtection="1">
      <alignment/>
      <protection/>
    </xf>
    <xf numFmtId="3" fontId="14" fillId="0" borderId="68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3" fontId="14" fillId="0" borderId="57" xfId="0" applyNumberFormat="1" applyFont="1" applyBorder="1" applyAlignment="1" applyProtection="1">
      <alignment/>
      <protection/>
    </xf>
    <xf numFmtId="16" fontId="12" fillId="17" borderId="39" xfId="0" applyNumberFormat="1" applyFont="1" applyFill="1" applyBorder="1" applyAlignment="1" applyProtection="1">
      <alignment horizontal="center"/>
      <protection/>
    </xf>
    <xf numFmtId="0" fontId="12" fillId="17" borderId="40" xfId="0" applyFont="1" applyFill="1" applyBorder="1" applyAlignment="1" applyProtection="1">
      <alignment/>
      <protection/>
    </xf>
    <xf numFmtId="0" fontId="3" fillId="17" borderId="41" xfId="0" applyFont="1" applyFill="1" applyBorder="1" applyAlignment="1" applyProtection="1">
      <alignment/>
      <protection/>
    </xf>
    <xf numFmtId="0" fontId="12" fillId="17" borderId="32" xfId="0" applyFont="1" applyFill="1" applyBorder="1" applyAlignment="1" applyProtection="1">
      <alignment horizontal="center"/>
      <protection/>
    </xf>
    <xf numFmtId="0" fontId="0" fillId="17" borderId="13" xfId="0" applyFont="1" applyFill="1" applyBorder="1" applyAlignment="1" applyProtection="1">
      <alignment/>
      <protection/>
    </xf>
    <xf numFmtId="0" fontId="4" fillId="17" borderId="19" xfId="0" applyFont="1" applyFill="1" applyBorder="1" applyAlignment="1" applyProtection="1">
      <alignment horizontal="center"/>
      <protection/>
    </xf>
    <xf numFmtId="0" fontId="22" fillId="0" borderId="47" xfId="53" applyFont="1" applyBorder="1" applyProtection="1">
      <alignment/>
      <protection/>
    </xf>
    <xf numFmtId="0" fontId="3" fillId="0" borderId="49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168" fontId="3" fillId="8" borderId="1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16" fontId="13" fillId="0" borderId="1" xfId="0" applyNumberFormat="1" applyFont="1" applyBorder="1" applyAlignment="1" applyProtection="1" quotePrefix="1">
      <alignment horizontal="center"/>
      <protection/>
    </xf>
    <xf numFmtId="3" fontId="13" fillId="0" borderId="42" xfId="0" applyNumberFormat="1" applyFont="1" applyBorder="1" applyAlignment="1" applyProtection="1" quotePrefix="1">
      <alignment/>
      <protection/>
    </xf>
    <xf numFmtId="3" fontId="3" fillId="0" borderId="15" xfId="0" applyNumberFormat="1" applyFont="1" applyBorder="1" applyAlignment="1" applyProtection="1" quotePrefix="1">
      <alignment/>
      <protection/>
    </xf>
    <xf numFmtId="3" fontId="3" fillId="0" borderId="16" xfId="0" applyNumberFormat="1" applyFont="1" applyBorder="1" applyAlignment="1" applyProtection="1" quotePrefix="1">
      <alignment/>
      <protection/>
    </xf>
    <xf numFmtId="3" fontId="3" fillId="0" borderId="17" xfId="0" applyNumberFormat="1" applyFont="1" applyBorder="1" applyAlignment="1" applyProtection="1" quotePrefix="1">
      <alignment/>
      <protection/>
    </xf>
    <xf numFmtId="3" fontId="13" fillId="0" borderId="33" xfId="0" applyNumberFormat="1" applyFont="1" applyBorder="1" applyAlignment="1" applyProtection="1" quotePrefix="1">
      <alignment/>
      <protection/>
    </xf>
    <xf numFmtId="3" fontId="3" fillId="0" borderId="1" xfId="0" applyNumberFormat="1" applyFont="1" applyBorder="1" applyAlignment="1" applyProtection="1" quotePrefix="1">
      <alignment/>
      <protection/>
    </xf>
    <xf numFmtId="3" fontId="3" fillId="0" borderId="0" xfId="0" applyNumberFormat="1" applyFont="1" applyBorder="1" applyAlignment="1" applyProtection="1" quotePrefix="1">
      <alignment/>
      <protection/>
    </xf>
    <xf numFmtId="3" fontId="3" fillId="0" borderId="11" xfId="0" applyNumberFormat="1" applyFont="1" applyBorder="1" applyAlignment="1" applyProtection="1" quotePrefix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3" fontId="13" fillId="0" borderId="33" xfId="0" applyNumberFormat="1" applyFont="1" applyFill="1" applyBorder="1" applyAlignment="1" applyProtection="1" quotePrefix="1">
      <alignment/>
      <protection/>
    </xf>
    <xf numFmtId="16" fontId="13" fillId="0" borderId="0" xfId="0" applyNumberFormat="1" applyFont="1" applyBorder="1" applyAlignment="1" applyProtection="1">
      <alignment/>
      <protection/>
    </xf>
    <xf numFmtId="3" fontId="13" fillId="0" borderId="33" xfId="0" applyNumberFormat="1" applyFont="1" applyFill="1" applyBorder="1" applyAlignment="1" applyProtection="1">
      <alignment/>
      <protection/>
    </xf>
    <xf numFmtId="0" fontId="14" fillId="17" borderId="34" xfId="0" applyFont="1" applyFill="1" applyBorder="1" applyAlignment="1" applyProtection="1">
      <alignment/>
      <protection/>
    </xf>
    <xf numFmtId="0" fontId="14" fillId="17" borderId="18" xfId="0" applyFont="1" applyFill="1" applyBorder="1" applyAlignment="1" applyProtection="1">
      <alignment/>
      <protection/>
    </xf>
    <xf numFmtId="3" fontId="14" fillId="17" borderId="25" xfId="0" applyNumberFormat="1" applyFont="1" applyFill="1" applyBorder="1" applyAlignment="1" applyProtection="1">
      <alignment/>
      <protection/>
    </xf>
    <xf numFmtId="3" fontId="4" fillId="17" borderId="34" xfId="0" applyNumberFormat="1" applyFont="1" applyFill="1" applyBorder="1" applyAlignment="1" applyProtection="1">
      <alignment/>
      <protection/>
    </xf>
    <xf numFmtId="3" fontId="4" fillId="17" borderId="18" xfId="0" applyNumberFormat="1" applyFont="1" applyFill="1" applyBorder="1" applyAlignment="1" applyProtection="1">
      <alignment/>
      <protection/>
    </xf>
    <xf numFmtId="3" fontId="4" fillId="17" borderId="35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16" fontId="13" fillId="0" borderId="0" xfId="0" applyNumberFormat="1" applyFont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wrapText="1"/>
      <protection/>
    </xf>
    <xf numFmtId="0" fontId="14" fillId="0" borderId="1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3" fontId="14" fillId="0" borderId="36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13" fillId="0" borderId="16" xfId="0" applyNumberFormat="1" applyFont="1" applyBorder="1" applyAlignment="1" applyProtection="1" quotePrefix="1">
      <alignment/>
      <protection/>
    </xf>
    <xf numFmtId="3" fontId="13" fillId="0" borderId="0" xfId="0" applyNumberFormat="1" applyFont="1" applyBorder="1" applyAlignment="1" applyProtection="1" quotePrefix="1">
      <alignment/>
      <protection/>
    </xf>
    <xf numFmtId="16" fontId="13" fillId="0" borderId="1" xfId="0" applyNumberFormat="1" applyFont="1" applyFill="1" applyBorder="1" applyAlignment="1" applyProtection="1" quotePrefix="1">
      <alignment horizontal="center"/>
      <protection/>
    </xf>
    <xf numFmtId="3" fontId="13" fillId="0" borderId="0" xfId="0" applyNumberFormat="1" applyFont="1" applyFill="1" applyBorder="1" applyAlignment="1" applyProtection="1" quotePrefix="1">
      <alignment/>
      <protection/>
    </xf>
    <xf numFmtId="3" fontId="3" fillId="0" borderId="1" xfId="0" applyNumberFormat="1" applyFont="1" applyFill="1" applyBorder="1" applyAlignment="1" applyProtection="1" quotePrefix="1">
      <alignment/>
      <protection/>
    </xf>
    <xf numFmtId="3" fontId="3" fillId="0" borderId="0" xfId="0" applyNumberFormat="1" applyFont="1" applyFill="1" applyBorder="1" applyAlignment="1" applyProtection="1" quotePrefix="1">
      <alignment/>
      <protection/>
    </xf>
    <xf numFmtId="3" fontId="3" fillId="0" borderId="11" xfId="0" applyNumberFormat="1" applyFont="1" applyFill="1" applyBorder="1" applyAlignment="1" applyProtection="1" quotePrefix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13" fillId="17" borderId="34" xfId="0" applyFont="1" applyFill="1" applyBorder="1" applyAlignment="1" applyProtection="1">
      <alignment/>
      <protection/>
    </xf>
    <xf numFmtId="3" fontId="14" fillId="17" borderId="18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13" xfId="0" applyNumberFormat="1" applyFont="1" applyBorder="1" applyAlignment="1" applyProtection="1">
      <alignment/>
      <protection/>
    </xf>
    <xf numFmtId="16" fontId="12" fillId="9" borderId="15" xfId="53" applyNumberFormat="1" applyFont="1" applyFill="1" applyBorder="1" applyAlignment="1" applyProtection="1">
      <alignment horizontal="center"/>
      <protection/>
    </xf>
    <xf numFmtId="0" fontId="12" fillId="9" borderId="60" xfId="53" applyFont="1" applyFill="1" applyBorder="1" applyProtection="1">
      <alignment/>
      <protection/>
    </xf>
    <xf numFmtId="0" fontId="3" fillId="9" borderId="41" xfId="53" applyFont="1" applyFill="1" applyBorder="1" applyProtection="1">
      <alignment/>
      <protection/>
    </xf>
    <xf numFmtId="0" fontId="12" fillId="9" borderId="12" xfId="53" applyFont="1" applyFill="1" applyBorder="1" applyAlignment="1" applyProtection="1">
      <alignment horizontal="center"/>
      <protection/>
    </xf>
    <xf numFmtId="0" fontId="12" fillId="9" borderId="12" xfId="53" applyFont="1" applyFill="1" applyBorder="1" applyProtection="1">
      <alignment/>
      <protection/>
    </xf>
    <xf numFmtId="0" fontId="14" fillId="9" borderId="28" xfId="53" applyFont="1" applyFill="1" applyBorder="1" applyAlignment="1" applyProtection="1">
      <alignment horizontal="center"/>
      <protection/>
    </xf>
    <xf numFmtId="0" fontId="14" fillId="17" borderId="34" xfId="53" applyFont="1" applyFill="1" applyBorder="1" applyProtection="1">
      <alignment/>
      <protection/>
    </xf>
    <xf numFmtId="3" fontId="14" fillId="17" borderId="25" xfId="53" applyNumberFormat="1" applyFont="1" applyFill="1" applyBorder="1" applyProtection="1">
      <alignment/>
      <protection/>
    </xf>
    <xf numFmtId="3" fontId="4" fillId="17" borderId="34" xfId="53" applyNumberFormat="1" applyFont="1" applyFill="1" applyBorder="1" applyProtection="1">
      <alignment/>
      <protection/>
    </xf>
    <xf numFmtId="3" fontId="4" fillId="17" borderId="18" xfId="53" applyNumberFormat="1" applyFont="1" applyFill="1" applyBorder="1" applyProtection="1">
      <alignment/>
      <protection/>
    </xf>
    <xf numFmtId="3" fontId="4" fillId="17" borderId="35" xfId="53" applyNumberFormat="1" applyFont="1" applyFill="1" applyBorder="1" applyProtection="1">
      <alignment/>
      <protection/>
    </xf>
    <xf numFmtId="0" fontId="13" fillId="0" borderId="1" xfId="53" applyFont="1" applyFill="1" applyBorder="1" applyAlignment="1" applyProtection="1">
      <alignment wrapText="1"/>
      <protection/>
    </xf>
    <xf numFmtId="0" fontId="15" fillId="0" borderId="1" xfId="53" applyFont="1" applyFill="1" applyBorder="1" applyProtection="1">
      <alignment/>
      <protection/>
    </xf>
    <xf numFmtId="0" fontId="14" fillId="17" borderId="1" xfId="53" applyFont="1" applyFill="1" applyBorder="1" applyProtection="1">
      <alignment/>
      <protection/>
    </xf>
    <xf numFmtId="3" fontId="14" fillId="17" borderId="33" xfId="53" applyNumberFormat="1" applyFont="1" applyFill="1" applyBorder="1" applyAlignment="1" applyProtection="1">
      <alignment horizontal="right"/>
      <protection/>
    </xf>
    <xf numFmtId="3" fontId="4" fillId="17" borderId="1" xfId="53" applyNumberFormat="1" applyFont="1" applyFill="1" applyBorder="1" applyAlignment="1" applyProtection="1">
      <alignment horizontal="right"/>
      <protection/>
    </xf>
    <xf numFmtId="16" fontId="12" fillId="9" borderId="39" xfId="53" applyNumberFormat="1" applyFont="1" applyFill="1" applyBorder="1" applyAlignment="1" applyProtection="1">
      <alignment horizontal="center"/>
      <protection/>
    </xf>
    <xf numFmtId="0" fontId="12" fillId="9" borderId="40" xfId="53" applyFont="1" applyFill="1" applyBorder="1" applyProtection="1">
      <alignment/>
      <protection/>
    </xf>
    <xf numFmtId="0" fontId="3" fillId="9" borderId="40" xfId="53" applyFont="1" applyFill="1" applyBorder="1" applyProtection="1">
      <alignment/>
      <protection/>
    </xf>
    <xf numFmtId="0" fontId="12" fillId="9" borderId="32" xfId="53" applyFont="1" applyFill="1" applyBorder="1" applyAlignment="1" applyProtection="1">
      <alignment horizontal="center"/>
      <protection/>
    </xf>
    <xf numFmtId="0" fontId="12" fillId="9" borderId="13" xfId="53" applyFont="1" applyFill="1" applyBorder="1" applyProtection="1">
      <alignment/>
      <protection/>
    </xf>
    <xf numFmtId="0" fontId="4" fillId="9" borderId="13" xfId="53" applyFont="1" applyFill="1" applyBorder="1" applyProtection="1">
      <alignment/>
      <protection/>
    </xf>
    <xf numFmtId="0" fontId="14" fillId="0" borderId="34" xfId="53" applyFont="1" applyFill="1" applyBorder="1" applyProtection="1">
      <alignment/>
      <protection/>
    </xf>
    <xf numFmtId="0" fontId="14" fillId="0" borderId="18" xfId="53" applyFont="1" applyFill="1" applyBorder="1" applyProtection="1">
      <alignment/>
      <protection/>
    </xf>
    <xf numFmtId="3" fontId="4" fillId="0" borderId="34" xfId="53" applyNumberFormat="1" applyFont="1" applyFill="1" applyBorder="1" applyProtection="1">
      <alignment/>
      <protection/>
    </xf>
    <xf numFmtId="3" fontId="4" fillId="0" borderId="18" xfId="53" applyNumberFormat="1" applyFont="1" applyFill="1" applyBorder="1" applyProtection="1">
      <alignment/>
      <protection/>
    </xf>
    <xf numFmtId="3" fontId="4" fillId="0" borderId="35" xfId="53" applyNumberFormat="1" applyFont="1" applyFill="1" applyBorder="1" applyProtection="1">
      <alignment/>
      <protection/>
    </xf>
    <xf numFmtId="0" fontId="15" fillId="0" borderId="0" xfId="53" applyFont="1" applyFill="1" applyBorder="1" applyProtection="1" quotePrefix="1">
      <alignment/>
      <protection/>
    </xf>
    <xf numFmtId="0" fontId="14" fillId="17" borderId="18" xfId="53" applyFont="1" applyFill="1" applyBorder="1" applyProtection="1">
      <alignment/>
      <protection/>
    </xf>
    <xf numFmtId="4" fontId="3" fillId="0" borderId="1" xfId="53" applyNumberFormat="1" applyFont="1" applyFill="1" applyBorder="1" applyAlignment="1" applyProtection="1">
      <alignment horizontal="right"/>
      <protection/>
    </xf>
    <xf numFmtId="4" fontId="3" fillId="0" borderId="11" xfId="53" applyNumberFormat="1" applyFont="1" applyFill="1" applyBorder="1" applyAlignment="1" applyProtection="1">
      <alignment horizontal="right"/>
      <protection/>
    </xf>
    <xf numFmtId="3" fontId="4" fillId="0" borderId="12" xfId="53" applyNumberFormat="1" applyFont="1" applyFill="1" applyBorder="1" applyProtection="1">
      <alignment/>
      <protection/>
    </xf>
    <xf numFmtId="0" fontId="4" fillId="9" borderId="40" xfId="53" applyFont="1" applyFill="1" applyBorder="1" applyProtection="1">
      <alignment/>
      <protection/>
    </xf>
    <xf numFmtId="0" fontId="11" fillId="0" borderId="14" xfId="76" applyFont="1" applyBorder="1" applyAlignment="1" applyProtection="1">
      <alignment horizontal="center"/>
      <protection/>
    </xf>
    <xf numFmtId="0" fontId="3" fillId="0" borderId="36" xfId="53" applyFont="1" applyFill="1" applyBorder="1" applyProtection="1">
      <alignment/>
      <protection locked="0"/>
    </xf>
    <xf numFmtId="0" fontId="4" fillId="0" borderId="36" xfId="53" applyFont="1" applyFill="1" applyBorder="1" applyProtection="1">
      <alignment/>
      <protection locked="0"/>
    </xf>
    <xf numFmtId="0" fontId="7" fillId="0" borderId="0" xfId="53" applyFont="1" applyFill="1" applyBorder="1" applyProtection="1">
      <alignment/>
      <protection locked="0"/>
    </xf>
    <xf numFmtId="3" fontId="4" fillId="0" borderId="37" xfId="37" applyNumberFormat="1" applyFont="1" applyFill="1" applyBorder="1" applyAlignment="1" applyProtection="1">
      <alignment horizontal="center"/>
      <protection locked="0"/>
    </xf>
    <xf numFmtId="169" fontId="41" fillId="6" borderId="0" xfId="0" applyNumberFormat="1" applyFont="1" applyFill="1" applyBorder="1" applyAlignment="1" applyProtection="1">
      <alignment/>
      <protection hidden="1"/>
    </xf>
    <xf numFmtId="3" fontId="3" fillId="0" borderId="15" xfId="57" applyNumberFormat="1" applyFont="1" applyFill="1" applyBorder="1" applyAlignment="1" applyProtection="1">
      <alignment horizontal="center"/>
      <protection hidden="1"/>
    </xf>
    <xf numFmtId="10" fontId="3" fillId="0" borderId="16" xfId="82" applyNumberFormat="1" applyFont="1" applyFill="1" applyBorder="1" applyAlignment="1" applyProtection="1">
      <alignment horizontal="center"/>
      <protection hidden="1"/>
    </xf>
    <xf numFmtId="10" fontId="3" fillId="0" borderId="17" xfId="82" applyNumberFormat="1" applyFont="1" applyFill="1" applyBorder="1" applyAlignment="1" applyProtection="1">
      <alignment horizontal="center"/>
      <protection hidden="1"/>
    </xf>
    <xf numFmtId="3" fontId="3" fillId="0" borderId="53" xfId="54" applyNumberFormat="1" applyFont="1" applyFill="1" applyBorder="1" applyAlignment="1" applyProtection="1">
      <alignment horizontal="center"/>
      <protection hidden="1"/>
    </xf>
    <xf numFmtId="3" fontId="3" fillId="0" borderId="54" xfId="54" applyNumberFormat="1" applyFont="1" applyFill="1" applyBorder="1" applyAlignment="1" applyProtection="1">
      <alignment horizontal="center"/>
      <protection hidden="1"/>
    </xf>
    <xf numFmtId="3" fontId="3" fillId="0" borderId="79" xfId="54" applyNumberFormat="1" applyFont="1" applyFill="1" applyBorder="1" applyAlignment="1" applyProtection="1">
      <alignment horizontal="center"/>
      <protection hidden="1"/>
    </xf>
    <xf numFmtId="3" fontId="3" fillId="0" borderId="1" xfId="54" applyNumberFormat="1" applyFont="1" applyFill="1" applyBorder="1" applyAlignment="1" applyProtection="1">
      <alignment horizontal="center"/>
      <protection hidden="1"/>
    </xf>
    <xf numFmtId="3" fontId="3" fillId="0" borderId="0" xfId="54" applyNumberFormat="1" applyFont="1" applyFill="1" applyBorder="1" applyAlignment="1" applyProtection="1">
      <alignment horizontal="center"/>
      <protection hidden="1"/>
    </xf>
    <xf numFmtId="3" fontId="3" fillId="0" borderId="11" xfId="54" applyNumberFormat="1" applyFont="1" applyFill="1" applyBorder="1" applyAlignment="1" applyProtection="1">
      <alignment horizontal="center"/>
      <protection hidden="1"/>
    </xf>
    <xf numFmtId="3" fontId="3" fillId="0" borderId="12" xfId="54" applyNumberFormat="1" applyFont="1" applyFill="1" applyBorder="1" applyAlignment="1" applyProtection="1">
      <alignment horizontal="center"/>
      <protection hidden="1"/>
    </xf>
    <xf numFmtId="3" fontId="3" fillId="0" borderId="13" xfId="54" applyNumberFormat="1" applyFont="1" applyFill="1" applyBorder="1" applyAlignment="1" applyProtection="1">
      <alignment horizontal="center"/>
      <protection hidden="1"/>
    </xf>
    <xf numFmtId="3" fontId="3" fillId="0" borderId="19" xfId="54" applyNumberFormat="1" applyFont="1" applyFill="1" applyBorder="1" applyAlignment="1" applyProtection="1">
      <alignment horizontal="center"/>
      <protection hidden="1"/>
    </xf>
    <xf numFmtId="10" fontId="3" fillId="0" borderId="15" xfId="82" applyNumberFormat="1" applyFont="1" applyFill="1" applyBorder="1" applyAlignment="1" applyProtection="1">
      <alignment horizontal="center"/>
      <protection hidden="1"/>
    </xf>
    <xf numFmtId="3" fontId="8" fillId="0" borderId="53" xfId="0" applyNumberFormat="1" applyFont="1" applyFill="1" applyBorder="1" applyAlignment="1" applyProtection="1">
      <alignment/>
      <protection hidden="1" locked="0"/>
    </xf>
    <xf numFmtId="3" fontId="8" fillId="0" borderId="54" xfId="0" applyNumberFormat="1" applyFont="1" applyFill="1" applyBorder="1" applyAlignment="1" applyProtection="1">
      <alignment/>
      <protection hidden="1" locked="0"/>
    </xf>
    <xf numFmtId="3" fontId="8" fillId="0" borderId="79" xfId="0" applyNumberFormat="1" applyFont="1" applyFill="1" applyBorder="1" applyAlignment="1" applyProtection="1">
      <alignment/>
      <protection hidden="1" locked="0"/>
    </xf>
    <xf numFmtId="0" fontId="27" fillId="0" borderId="0" xfId="0" applyFont="1" applyAlignment="1" applyProtection="1">
      <alignment vertical="center"/>
      <protection locked="0"/>
    </xf>
    <xf numFmtId="10" fontId="14" fillId="0" borderId="68" xfId="53" applyNumberFormat="1" applyFont="1" applyFill="1" applyBorder="1" applyProtection="1">
      <alignment/>
      <protection locked="0"/>
    </xf>
    <xf numFmtId="173" fontId="14" fillId="0" borderId="68" xfId="78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2" fontId="13" fillId="0" borderId="69" xfId="0" applyNumberFormat="1" applyFont="1" applyFill="1" applyBorder="1" applyAlignment="1" applyProtection="1">
      <alignment horizontal="center"/>
      <protection/>
    </xf>
    <xf numFmtId="0" fontId="36" fillId="0" borderId="80" xfId="0" applyFont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 wrapText="1"/>
      <protection/>
    </xf>
    <xf numFmtId="0" fontId="36" fillId="8" borderId="81" xfId="0" applyFont="1" applyFill="1" applyBorder="1" applyAlignment="1" applyProtection="1">
      <alignment horizontal="left" vertical="center" wrapText="1"/>
      <protection locked="0"/>
    </xf>
    <xf numFmtId="0" fontId="36" fillId="0" borderId="54" xfId="0" applyFont="1" applyBorder="1" applyAlignment="1" applyProtection="1">
      <alignment/>
      <protection locked="0"/>
    </xf>
    <xf numFmtId="0" fontId="36" fillId="0" borderId="62" xfId="0" applyFont="1" applyBorder="1" applyAlignment="1" applyProtection="1">
      <alignment/>
      <protection locked="0"/>
    </xf>
    <xf numFmtId="0" fontId="36" fillId="0" borderId="77" xfId="0" applyFont="1" applyBorder="1" applyAlignment="1" applyProtection="1">
      <alignment/>
      <protection locked="0"/>
    </xf>
    <xf numFmtId="0" fontId="36" fillId="0" borderId="18" xfId="0" applyFont="1" applyBorder="1" applyAlignment="1" applyProtection="1">
      <alignment/>
      <protection locked="0"/>
    </xf>
    <xf numFmtId="0" fontId="36" fillId="0" borderId="56" xfId="0" applyFont="1" applyBorder="1" applyAlignment="1" applyProtection="1">
      <alignment/>
      <protection locked="0"/>
    </xf>
    <xf numFmtId="0" fontId="0" fillId="8" borderId="81" xfId="0" applyFill="1" applyBorder="1" applyAlignment="1" applyProtection="1">
      <alignment wrapText="1"/>
      <protection locked="0"/>
    </xf>
    <xf numFmtId="0" fontId="0" fillId="8" borderId="54" xfId="0" applyFill="1" applyBorder="1" applyAlignment="1" applyProtection="1">
      <alignment wrapText="1"/>
      <protection locked="0"/>
    </xf>
    <xf numFmtId="0" fontId="0" fillId="8" borderId="80" xfId="0" applyFill="1" applyBorder="1" applyAlignment="1" applyProtection="1">
      <alignment wrapText="1"/>
      <protection locked="0"/>
    </xf>
    <xf numFmtId="0" fontId="0" fillId="8" borderId="36" xfId="0" applyFill="1" applyBorder="1" applyAlignment="1" applyProtection="1">
      <alignment wrapText="1"/>
      <protection locked="0"/>
    </xf>
    <xf numFmtId="0" fontId="0" fillId="8" borderId="0" xfId="0" applyFill="1" applyBorder="1" applyAlignment="1" applyProtection="1">
      <alignment wrapText="1"/>
      <protection locked="0"/>
    </xf>
    <xf numFmtId="0" fontId="0" fillId="8" borderId="62" xfId="0" applyFill="1" applyBorder="1" applyAlignment="1" applyProtection="1">
      <alignment wrapText="1"/>
      <protection locked="0"/>
    </xf>
    <xf numFmtId="0" fontId="0" fillId="8" borderId="77" xfId="0" applyFill="1" applyBorder="1" applyAlignment="1" applyProtection="1">
      <alignment wrapText="1"/>
      <protection locked="0"/>
    </xf>
    <xf numFmtId="0" fontId="0" fillId="8" borderId="18" xfId="0" applyFill="1" applyBorder="1" applyAlignment="1" applyProtection="1">
      <alignment wrapText="1"/>
      <protection locked="0"/>
    </xf>
    <xf numFmtId="0" fontId="0" fillId="8" borderId="56" xfId="0" applyFill="1" applyBorder="1" applyAlignment="1" applyProtection="1">
      <alignment wrapText="1"/>
      <protection locked="0"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23" fillId="6" borderId="54" xfId="0" applyFont="1" applyFill="1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8" borderId="47" xfId="0" applyFont="1" applyFill="1" applyBorder="1" applyAlignment="1" applyProtection="1">
      <alignment horizontal="left" vertical="center"/>
      <protection locked="0"/>
    </xf>
    <xf numFmtId="0" fontId="25" fillId="8" borderId="48" xfId="0" applyFont="1" applyFill="1" applyBorder="1" applyAlignment="1" applyProtection="1">
      <alignment horizontal="left" vertical="center"/>
      <protection locked="0"/>
    </xf>
    <xf numFmtId="0" fontId="25" fillId="8" borderId="49" xfId="0" applyFont="1" applyFill="1" applyBorder="1" applyAlignment="1" applyProtection="1">
      <alignment horizontal="left"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14" fillId="9" borderId="0" xfId="0" applyFont="1" applyFill="1" applyBorder="1" applyAlignment="1" applyProtection="1">
      <alignment horizontal="center" vertical="center" wrapText="1"/>
      <protection/>
    </xf>
    <xf numFmtId="0" fontId="12" fillId="6" borderId="15" xfId="0" applyFont="1" applyFill="1" applyBorder="1" applyAlignment="1" applyProtection="1">
      <alignment horizontal="left" vertical="center"/>
      <protection/>
    </xf>
    <xf numFmtId="0" fontId="12" fillId="6" borderId="16" xfId="0" applyFont="1" applyFill="1" applyBorder="1" applyAlignment="1" applyProtection="1">
      <alignment horizontal="left" vertical="center"/>
      <protection/>
    </xf>
    <xf numFmtId="0" fontId="12" fillId="6" borderId="17" xfId="0" applyFont="1" applyFill="1" applyBorder="1" applyAlignment="1" applyProtection="1">
      <alignment horizontal="left" vertical="center"/>
      <protection/>
    </xf>
    <xf numFmtId="0" fontId="12" fillId="6" borderId="12" xfId="0" applyFont="1" applyFill="1" applyBorder="1" applyAlignment="1" applyProtection="1">
      <alignment horizontal="left" vertical="center"/>
      <protection/>
    </xf>
    <xf numFmtId="0" fontId="12" fillId="6" borderId="13" xfId="0" applyFont="1" applyFill="1" applyBorder="1" applyAlignment="1" applyProtection="1">
      <alignment horizontal="left" vertical="center"/>
      <protection/>
    </xf>
    <xf numFmtId="0" fontId="12" fillId="6" borderId="19" xfId="0" applyFont="1" applyFill="1" applyBorder="1" applyAlignment="1" applyProtection="1">
      <alignment horizontal="left" vertical="center"/>
      <protection/>
    </xf>
    <xf numFmtId="0" fontId="14" fillId="9" borderId="11" xfId="0" applyFont="1" applyFill="1" applyBorder="1" applyAlignment="1" applyProtection="1">
      <alignment horizontal="center" vertical="center" wrapText="1"/>
      <protection/>
    </xf>
    <xf numFmtId="0" fontId="14" fillId="9" borderId="38" xfId="0" applyFont="1" applyFill="1" applyBorder="1" applyAlignment="1" applyProtection="1">
      <alignment horizontal="center" vertical="center" wrapText="1"/>
      <protection/>
    </xf>
    <xf numFmtId="0" fontId="14" fillId="9" borderId="55" xfId="0" applyFont="1" applyFill="1" applyBorder="1" applyAlignment="1" applyProtection="1">
      <alignment horizontal="center" vertical="center" wrapText="1"/>
      <protection/>
    </xf>
    <xf numFmtId="0" fontId="14" fillId="9" borderId="33" xfId="0" applyFont="1" applyFill="1" applyBorder="1" applyAlignment="1" applyProtection="1">
      <alignment horizontal="center" vertical="center" wrapText="1"/>
      <protection/>
    </xf>
    <xf numFmtId="0" fontId="14" fillId="9" borderId="55" xfId="0" applyFont="1" applyFill="1" applyBorder="1" applyAlignment="1" applyProtection="1">
      <alignment horizontal="center" vertical="center"/>
      <protection/>
    </xf>
    <xf numFmtId="0" fontId="14" fillId="9" borderId="57" xfId="0" applyFont="1" applyFill="1" applyBorder="1" applyAlignment="1" applyProtection="1">
      <alignment horizontal="center" vertical="center"/>
      <protection/>
    </xf>
    <xf numFmtId="0" fontId="14" fillId="9" borderId="11" xfId="0" applyFont="1" applyFill="1" applyBorder="1" applyAlignment="1" applyProtection="1">
      <alignment horizontal="center" vertical="center"/>
      <protection/>
    </xf>
    <xf numFmtId="172" fontId="11" fillId="0" borderId="47" xfId="0" applyNumberFormat="1" applyFont="1" applyFill="1" applyBorder="1" applyAlignment="1" applyProtection="1">
      <alignment horizontal="center" vertical="center"/>
      <protection/>
    </xf>
    <xf numFmtId="172" fontId="11" fillId="0" borderId="49" xfId="0" applyNumberFormat="1" applyFont="1" applyFill="1" applyBorder="1" applyAlignment="1" applyProtection="1">
      <alignment horizontal="center" vertical="center"/>
      <protection/>
    </xf>
    <xf numFmtId="3" fontId="3" fillId="0" borderId="47" xfId="0" applyNumberFormat="1" applyFont="1" applyBorder="1" applyAlignment="1" applyProtection="1">
      <alignment horizontal="center"/>
      <protection/>
    </xf>
    <xf numFmtId="3" fontId="3" fillId="0" borderId="49" xfId="0" applyNumberFormat="1" applyFont="1" applyBorder="1" applyAlignment="1" applyProtection="1">
      <alignment horizontal="center"/>
      <protection/>
    </xf>
    <xf numFmtId="0" fontId="12" fillId="6" borderId="39" xfId="57" applyFont="1" applyFill="1" applyBorder="1" applyAlignment="1" applyProtection="1">
      <alignment horizontal="center" vertical="center"/>
      <protection/>
    </xf>
    <xf numFmtId="0" fontId="12" fillId="6" borderId="51" xfId="57" applyFont="1" applyFill="1" applyBorder="1" applyAlignment="1" applyProtection="1">
      <alignment horizontal="center" vertical="center"/>
      <protection/>
    </xf>
    <xf numFmtId="0" fontId="12" fillId="6" borderId="32" xfId="57" applyFont="1" applyFill="1" applyBorder="1" applyAlignment="1" applyProtection="1">
      <alignment horizontal="center" vertical="center"/>
      <protection/>
    </xf>
    <xf numFmtId="0" fontId="14" fillId="13" borderId="16" xfId="0" applyFont="1" applyFill="1" applyBorder="1" applyAlignment="1" applyProtection="1">
      <alignment horizontal="center" vertical="center"/>
      <protection/>
    </xf>
    <xf numFmtId="0" fontId="14" fillId="13" borderId="13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/>
      <protection/>
    </xf>
    <xf numFmtId="0" fontId="14" fillId="3" borderId="13" xfId="0" applyFont="1" applyFill="1" applyBorder="1" applyAlignment="1" applyProtection="1">
      <alignment horizontal="center" vertical="center"/>
      <protection/>
    </xf>
    <xf numFmtId="0" fontId="14" fillId="9" borderId="16" xfId="0" applyFont="1" applyFill="1" applyBorder="1" applyAlignment="1" applyProtection="1">
      <alignment horizontal="center" vertical="center"/>
      <protection/>
    </xf>
    <xf numFmtId="0" fontId="14" fillId="9" borderId="13" xfId="0" applyFont="1" applyFill="1" applyBorder="1" applyAlignment="1" applyProtection="1">
      <alignment horizontal="center" vertical="center"/>
      <protection/>
    </xf>
    <xf numFmtId="0" fontId="14" fillId="9" borderId="16" xfId="57" applyFont="1" applyFill="1" applyBorder="1" applyAlignment="1" applyProtection="1">
      <alignment horizontal="center" vertical="center"/>
      <protection/>
    </xf>
    <xf numFmtId="0" fontId="14" fillId="9" borderId="13" xfId="57" applyFont="1" applyFill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horizontal="center" vertical="center"/>
      <protection/>
    </xf>
    <xf numFmtId="0" fontId="14" fillId="3" borderId="12" xfId="0" applyFont="1" applyFill="1" applyBorder="1" applyAlignment="1" applyProtection="1">
      <alignment horizontal="center" vertical="center"/>
      <protection/>
    </xf>
    <xf numFmtId="0" fontId="14" fillId="13" borderId="15" xfId="0" applyFont="1" applyFill="1" applyBorder="1" applyAlignment="1" applyProtection="1">
      <alignment horizontal="center" vertical="center"/>
      <protection/>
    </xf>
    <xf numFmtId="0" fontId="14" fillId="13" borderId="12" xfId="0" applyFont="1" applyFill="1" applyBorder="1" applyAlignment="1" applyProtection="1">
      <alignment horizontal="center" vertical="center"/>
      <protection/>
    </xf>
    <xf numFmtId="0" fontId="14" fillId="9" borderId="15" xfId="0" applyFont="1" applyFill="1" applyBorder="1" applyAlignment="1" applyProtection="1">
      <alignment horizontal="center" vertical="center"/>
      <protection/>
    </xf>
    <xf numFmtId="0" fontId="14" fillId="9" borderId="12" xfId="0" applyFont="1" applyFill="1" applyBorder="1" applyAlignment="1" applyProtection="1">
      <alignment horizontal="center" vertical="center"/>
      <protection/>
    </xf>
    <xf numFmtId="0" fontId="14" fillId="13" borderId="17" xfId="0" applyFont="1" applyFill="1" applyBorder="1" applyAlignment="1" applyProtection="1">
      <alignment horizontal="center" vertical="center"/>
      <protection/>
    </xf>
    <xf numFmtId="0" fontId="14" fillId="13" borderId="19" xfId="0" applyFont="1" applyFill="1" applyBorder="1" applyAlignment="1" applyProtection="1">
      <alignment horizontal="center" vertical="center"/>
      <protection/>
    </xf>
    <xf numFmtId="0" fontId="14" fillId="9" borderId="17" xfId="0" applyFont="1" applyFill="1" applyBorder="1" applyAlignment="1" applyProtection="1">
      <alignment horizontal="center" vertical="center"/>
      <protection/>
    </xf>
    <xf numFmtId="0" fontId="14" fillId="9" borderId="19" xfId="0" applyFont="1" applyFill="1" applyBorder="1" applyAlignment="1" applyProtection="1">
      <alignment horizontal="center" vertical="center"/>
      <protection/>
    </xf>
    <xf numFmtId="0" fontId="14" fillId="3" borderId="17" xfId="0" applyFont="1" applyFill="1" applyBorder="1" applyAlignment="1" applyProtection="1">
      <alignment horizontal="center" vertical="center"/>
      <protection/>
    </xf>
    <xf numFmtId="0" fontId="14" fillId="3" borderId="19" xfId="0" applyFont="1" applyFill="1" applyBorder="1" applyAlignment="1" applyProtection="1">
      <alignment horizontal="center" vertical="center"/>
      <protection/>
    </xf>
    <xf numFmtId="0" fontId="14" fillId="9" borderId="17" xfId="57" applyFont="1" applyFill="1" applyBorder="1" applyAlignment="1" applyProtection="1">
      <alignment horizontal="center" vertical="center"/>
      <protection/>
    </xf>
    <xf numFmtId="0" fontId="14" fillId="9" borderId="19" xfId="57" applyFont="1" applyFill="1" applyBorder="1" applyAlignment="1" applyProtection="1">
      <alignment horizontal="center" vertical="center"/>
      <protection/>
    </xf>
    <xf numFmtId="0" fontId="14" fillId="13" borderId="16" xfId="57" applyFont="1" applyFill="1" applyBorder="1" applyAlignment="1" applyProtection="1">
      <alignment horizontal="center" vertical="center"/>
      <protection/>
    </xf>
    <xf numFmtId="0" fontId="14" fillId="13" borderId="13" xfId="57" applyFont="1" applyFill="1" applyBorder="1" applyAlignment="1" applyProtection="1">
      <alignment horizontal="center" vertical="center"/>
      <protection/>
    </xf>
    <xf numFmtId="0" fontId="14" fillId="13" borderId="17" xfId="57" applyFont="1" applyFill="1" applyBorder="1" applyAlignment="1" applyProtection="1">
      <alignment horizontal="center" vertical="center"/>
      <protection/>
    </xf>
    <xf numFmtId="0" fontId="14" fillId="13" borderId="19" xfId="57" applyFont="1" applyFill="1" applyBorder="1" applyAlignment="1" applyProtection="1">
      <alignment horizontal="center" vertical="center"/>
      <protection/>
    </xf>
    <xf numFmtId="0" fontId="14" fillId="9" borderId="15" xfId="57" applyFont="1" applyFill="1" applyBorder="1" applyAlignment="1" applyProtection="1">
      <alignment horizontal="center" vertical="center"/>
      <protection/>
    </xf>
    <xf numFmtId="0" fontId="14" fillId="9" borderId="12" xfId="57" applyFont="1" applyFill="1" applyBorder="1" applyAlignment="1" applyProtection="1">
      <alignment horizontal="center" vertical="center"/>
      <protection/>
    </xf>
    <xf numFmtId="0" fontId="14" fillId="13" borderId="15" xfId="57" applyFont="1" applyFill="1" applyBorder="1" applyAlignment="1" applyProtection="1">
      <alignment horizontal="center" vertical="center"/>
      <protection/>
    </xf>
    <xf numFmtId="0" fontId="14" fillId="13" borderId="12" xfId="57" applyFont="1" applyFill="1" applyBorder="1" applyAlignment="1" applyProtection="1">
      <alignment horizontal="center" vertical="center"/>
      <protection/>
    </xf>
    <xf numFmtId="0" fontId="14" fillId="13" borderId="11" xfId="0" applyFont="1" applyFill="1" applyBorder="1" applyAlignment="1" applyProtection="1">
      <alignment horizontal="center" vertical="center"/>
      <protection/>
    </xf>
    <xf numFmtId="0" fontId="14" fillId="13" borderId="0" xfId="0" applyFont="1" applyFill="1" applyBorder="1" applyAlignment="1" applyProtection="1">
      <alignment horizontal="center" vertical="center"/>
      <protection/>
    </xf>
    <xf numFmtId="0" fontId="14" fillId="9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11" xfId="0" applyFont="1" applyFill="1" applyBorder="1" applyAlignment="1" applyProtection="1">
      <alignment horizontal="center" vertical="center"/>
      <protection/>
    </xf>
    <xf numFmtId="0" fontId="14" fillId="9" borderId="1" xfId="0" applyFont="1" applyFill="1" applyBorder="1" applyAlignment="1" applyProtection="1">
      <alignment horizontal="center" vertical="center"/>
      <protection/>
    </xf>
    <xf numFmtId="0" fontId="14" fillId="1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3" fillId="6" borderId="69" xfId="0" applyFont="1" applyFill="1" applyBorder="1" applyAlignment="1" applyProtection="1">
      <alignment horizontal="center"/>
      <protection/>
    </xf>
    <xf numFmtId="0" fontId="13" fillId="6" borderId="68" xfId="0" applyFont="1" applyFill="1" applyBorder="1" applyAlignment="1" applyProtection="1">
      <alignment horizontal="center"/>
      <protection/>
    </xf>
    <xf numFmtId="0" fontId="13" fillId="6" borderId="29" xfId="0" applyFont="1" applyFill="1" applyBorder="1" applyAlignment="1" applyProtection="1">
      <alignment horizontal="center"/>
      <protection/>
    </xf>
    <xf numFmtId="0" fontId="14" fillId="9" borderId="12" xfId="53" applyFont="1" applyFill="1" applyBorder="1" applyAlignment="1" applyProtection="1">
      <alignment horizontal="left"/>
      <protection/>
    </xf>
    <xf numFmtId="0" fontId="14" fillId="9" borderId="13" xfId="53" applyFont="1" applyFill="1" applyBorder="1" applyAlignment="1" applyProtection="1">
      <alignment horizontal="left"/>
      <protection/>
    </xf>
    <xf numFmtId="0" fontId="14" fillId="9" borderId="60" xfId="53" applyFont="1" applyFill="1" applyBorder="1" applyAlignment="1" applyProtection="1">
      <alignment horizontal="left"/>
      <protection/>
    </xf>
    <xf numFmtId="0" fontId="14" fillId="9" borderId="40" xfId="53" applyFont="1" applyFill="1" applyBorder="1" applyAlignment="1" applyProtection="1">
      <alignment horizontal="left"/>
      <protection/>
    </xf>
    <xf numFmtId="0" fontId="12" fillId="6" borderId="1" xfId="0" applyFont="1" applyFill="1" applyBorder="1" applyAlignment="1" applyProtection="1">
      <alignment horizontal="left" vertical="center"/>
      <protection/>
    </xf>
    <xf numFmtId="0" fontId="12" fillId="6" borderId="0" xfId="0" applyFont="1" applyFill="1" applyBorder="1" applyAlignment="1" applyProtection="1">
      <alignment horizontal="left" vertical="center"/>
      <protection/>
    </xf>
    <xf numFmtId="0" fontId="12" fillId="6" borderId="11" xfId="0" applyFont="1" applyFill="1" applyBorder="1" applyAlignment="1" applyProtection="1">
      <alignment horizontal="left" vertical="center"/>
      <protection/>
    </xf>
    <xf numFmtId="0" fontId="22" fillId="0" borderId="1" xfId="53" applyFont="1" applyBorder="1" applyAlignment="1" applyProtection="1">
      <alignment horizontal="left" vertical="center" wrapText="1"/>
      <protection/>
    </xf>
    <xf numFmtId="0" fontId="22" fillId="0" borderId="0" xfId="53" applyFont="1" applyBorder="1" applyAlignment="1" applyProtection="1">
      <alignment horizontal="left" vertical="center" wrapText="1"/>
      <protection/>
    </xf>
    <xf numFmtId="0" fontId="22" fillId="0" borderId="11" xfId="53" applyFont="1" applyBorder="1" applyAlignment="1" applyProtection="1">
      <alignment horizontal="left" vertical="center" wrapText="1"/>
      <protection/>
    </xf>
    <xf numFmtId="0" fontId="22" fillId="0" borderId="12" xfId="53" applyFont="1" applyBorder="1" applyAlignment="1" applyProtection="1">
      <alignment horizontal="left" vertical="center" wrapText="1"/>
      <protection/>
    </xf>
    <xf numFmtId="0" fontId="22" fillId="0" borderId="13" xfId="53" applyFont="1" applyBorder="1" applyAlignment="1" applyProtection="1">
      <alignment horizontal="left" vertical="center" wrapText="1"/>
      <protection/>
    </xf>
    <xf numFmtId="0" fontId="22" fillId="0" borderId="19" xfId="53" applyFont="1" applyBorder="1" applyAlignment="1" applyProtection="1">
      <alignment horizontal="left" vertical="center" wrapText="1"/>
      <protection/>
    </xf>
    <xf numFmtId="0" fontId="22" fillId="0" borderId="15" xfId="53" applyFont="1" applyBorder="1" applyAlignment="1" applyProtection="1">
      <alignment horizontal="left" wrapText="1"/>
      <protection/>
    </xf>
    <xf numFmtId="0" fontId="22" fillId="0" borderId="16" xfId="53" applyFont="1" applyBorder="1" applyAlignment="1" applyProtection="1">
      <alignment horizontal="left" wrapText="1"/>
      <protection/>
    </xf>
    <xf numFmtId="0" fontId="22" fillId="0" borderId="17" xfId="53" applyFont="1" applyBorder="1" applyAlignment="1" applyProtection="1">
      <alignment horizontal="left" wrapText="1"/>
      <protection/>
    </xf>
    <xf numFmtId="0" fontId="22" fillId="0" borderId="1" xfId="53" applyFont="1" applyBorder="1" applyAlignment="1" applyProtection="1">
      <alignment horizontal="left" wrapText="1"/>
      <protection/>
    </xf>
    <xf numFmtId="0" fontId="22" fillId="0" borderId="0" xfId="53" applyFont="1" applyBorder="1" applyAlignment="1" applyProtection="1">
      <alignment horizontal="left" wrapText="1"/>
      <protection/>
    </xf>
    <xf numFmtId="0" fontId="22" fillId="0" borderId="11" xfId="53" applyFont="1" applyBorder="1" applyAlignment="1" applyProtection="1">
      <alignment horizontal="left" wrapText="1"/>
      <protection/>
    </xf>
    <xf numFmtId="0" fontId="12" fillId="6" borderId="47" xfId="0" applyFont="1" applyFill="1" applyBorder="1" applyAlignment="1" applyProtection="1">
      <alignment horizontal="left" vertical="center"/>
      <protection/>
    </xf>
    <xf numFmtId="0" fontId="12" fillId="6" borderId="48" xfId="0" applyFont="1" applyFill="1" applyBorder="1" applyAlignment="1" applyProtection="1">
      <alignment horizontal="left" vertical="center"/>
      <protection/>
    </xf>
    <xf numFmtId="0" fontId="12" fillId="6" borderId="49" xfId="0" applyFont="1" applyFill="1" applyBorder="1" applyAlignment="1" applyProtection="1">
      <alignment horizontal="left" vertical="center"/>
      <protection/>
    </xf>
    <xf numFmtId="0" fontId="14" fillId="17" borderId="16" xfId="0" applyFont="1" applyFill="1" applyBorder="1" applyAlignment="1" applyProtection="1">
      <alignment horizontal="center" vertical="center"/>
      <protection/>
    </xf>
    <xf numFmtId="0" fontId="14" fillId="17" borderId="13" xfId="0" applyFont="1" applyFill="1" applyBorder="1" applyAlignment="1" applyProtection="1">
      <alignment horizontal="center" vertical="center"/>
      <protection/>
    </xf>
    <xf numFmtId="0" fontId="14" fillId="17" borderId="15" xfId="0" applyFont="1" applyFill="1" applyBorder="1" applyAlignment="1" applyProtection="1">
      <alignment horizontal="center" vertical="center"/>
      <protection/>
    </xf>
    <xf numFmtId="0" fontId="14" fillId="17" borderId="12" xfId="0" applyFont="1" applyFill="1" applyBorder="1" applyAlignment="1" applyProtection="1">
      <alignment horizontal="center" vertical="center"/>
      <protection/>
    </xf>
    <xf numFmtId="0" fontId="14" fillId="9" borderId="17" xfId="0" applyFont="1" applyFill="1" applyBorder="1" applyAlignment="1" applyProtection="1">
      <alignment horizontal="center" vertical="center" wrapText="1"/>
      <protection/>
    </xf>
    <xf numFmtId="0" fontId="14" fillId="9" borderId="19" xfId="0" applyFont="1" applyFill="1" applyBorder="1" applyAlignment="1" applyProtection="1">
      <alignment horizontal="center" vertical="center" wrapText="1"/>
      <protection/>
    </xf>
    <xf numFmtId="0" fontId="12" fillId="17" borderId="39" xfId="0" applyFont="1" applyFill="1" applyBorder="1" applyAlignment="1" applyProtection="1">
      <alignment horizontal="center" wrapText="1"/>
      <protection/>
    </xf>
    <xf numFmtId="0" fontId="0" fillId="0" borderId="32" xfId="0" applyBorder="1" applyAlignment="1" applyProtection="1">
      <alignment horizontal="center" wrapText="1"/>
      <protection/>
    </xf>
    <xf numFmtId="0" fontId="14" fillId="17" borderId="17" xfId="0" applyFont="1" applyFill="1" applyBorder="1" applyAlignment="1" applyProtection="1">
      <alignment horizontal="center" vertical="center"/>
      <protection/>
    </xf>
    <xf numFmtId="0" fontId="14" fillId="17" borderId="19" xfId="0" applyFont="1" applyFill="1" applyBorder="1" applyAlignment="1" applyProtection="1">
      <alignment horizontal="center" vertical="center"/>
      <protection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e, oddel tisice" xfId="33"/>
    <cellStyle name="Celkem" xfId="34"/>
    <cellStyle name="Čárka 2" xfId="35"/>
    <cellStyle name="Čárka 3" xfId="36"/>
    <cellStyle name="Comma" xfId="37"/>
    <cellStyle name="čárky 2" xfId="38"/>
    <cellStyle name="čárky 2 2" xfId="39"/>
    <cellStyle name="čárky 3" xfId="40"/>
    <cellStyle name="čárky 3 2" xfId="41"/>
    <cellStyle name="Comma [0]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Aktivita 1 vodovod Kotesova 2004-05-25" xfId="53"/>
    <cellStyle name="Normální 10" xfId="54"/>
    <cellStyle name="Normální 11" xfId="55"/>
    <cellStyle name="Normální 12" xfId="56"/>
    <cellStyle name="Normální 2" xfId="57"/>
    <cellStyle name="normální 2 2" xfId="58"/>
    <cellStyle name="normální 2 2 2" xfId="59"/>
    <cellStyle name="normální 2 3" xfId="60"/>
    <cellStyle name="Normální 2 4" xfId="61"/>
    <cellStyle name="Normální 2 5" xfId="62"/>
    <cellStyle name="Normální 2 6" xfId="63"/>
    <cellStyle name="normální 22" xfId="64"/>
    <cellStyle name="normální 3" xfId="65"/>
    <cellStyle name="normální 3 2" xfId="66"/>
    <cellStyle name="normální 3_Priloha_01_prac" xfId="67"/>
    <cellStyle name="normální 4" xfId="68"/>
    <cellStyle name="normální 4 2" xfId="69"/>
    <cellStyle name="Normální 4 3" xfId="70"/>
    <cellStyle name="normální 5" xfId="71"/>
    <cellStyle name="normální 6" xfId="72"/>
    <cellStyle name="normální 7" xfId="73"/>
    <cellStyle name="normální 8" xfId="74"/>
    <cellStyle name="Normální 9" xfId="75"/>
    <cellStyle name="normální_!výpočty_-_HosPa_final_11_05_09" xfId="76"/>
    <cellStyle name="Poznámka" xfId="77"/>
    <cellStyle name="Percent" xfId="78"/>
    <cellStyle name="procent 2" xfId="79"/>
    <cellStyle name="procent 3" xfId="80"/>
    <cellStyle name="procent 3 2" xfId="81"/>
    <cellStyle name="Procenta 2" xfId="82"/>
    <cellStyle name="Procenta 3" xfId="83"/>
    <cellStyle name="Propojená buňka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adano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dxfs count="9">
    <dxf>
      <font>
        <color indexed="10"/>
      </font>
    </dxf>
    <dxf>
      <font>
        <color indexed="48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0"/>
      </font>
    </dxf>
    <dxf>
      <font>
        <color indexed="48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Q91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13.421875" style="12" customWidth="1"/>
    <col min="3" max="14" width="14.7109375" style="12" customWidth="1"/>
    <col min="15" max="15" width="10.28125" style="12" customWidth="1"/>
    <col min="16" max="16384" width="11.421875" style="12" customWidth="1"/>
  </cols>
  <sheetData>
    <row r="1" ht="12.75"/>
    <row r="2" ht="13.5" thickBot="1"/>
    <row r="3" spans="2:15" ht="12.7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2:15" ht="12.75">
      <c r="B4" s="21"/>
      <c r="C4" s="22" t="s">
        <v>43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12.75" customHeight="1">
      <c r="B5" s="21"/>
      <c r="C5" s="946" t="s">
        <v>325</v>
      </c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24"/>
    </row>
    <row r="6" spans="2:15" ht="12.75" customHeight="1">
      <c r="B6" s="21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24"/>
    </row>
    <row r="7" spans="2:15" ht="12.75" customHeight="1">
      <c r="B7" s="21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24"/>
    </row>
    <row r="8" spans="2:17" ht="12.75" customHeight="1">
      <c r="B8" s="21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24"/>
      <c r="Q8" s="27"/>
    </row>
    <row r="9" spans="2:15" ht="12.75" customHeight="1">
      <c r="B9" s="21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24"/>
    </row>
    <row r="10" spans="2:15" ht="12.75" customHeight="1">
      <c r="B10" s="21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24"/>
    </row>
    <row r="11" spans="2:15" ht="12.75" customHeight="1">
      <c r="B11" s="21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24"/>
    </row>
    <row r="12" spans="2:15" ht="12.75" customHeight="1" thickBot="1">
      <c r="B12" s="25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26"/>
    </row>
    <row r="13" spans="2:15" ht="12.75" customHeight="1" thickBo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12.7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2:15" ht="12.75" customHeight="1">
      <c r="B15" s="21"/>
      <c r="C15" s="22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2:15" ht="12.75" customHeight="1" thickBot="1">
      <c r="B16" s="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4"/>
    </row>
    <row r="17" spans="2:15" ht="17.25" customHeight="1" thickBot="1">
      <c r="B17" s="21"/>
      <c r="C17" s="29" t="s">
        <v>45</v>
      </c>
      <c r="D17" s="950" t="s">
        <v>255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2"/>
      <c r="O17" s="24"/>
    </row>
    <row r="18" spans="2:15" ht="12.75" customHeight="1" thickBot="1">
      <c r="B18" s="21"/>
      <c r="C18" s="3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4"/>
    </row>
    <row r="19" spans="2:15" ht="17.25" customHeight="1" thickBot="1">
      <c r="B19" s="21"/>
      <c r="C19" s="31" t="s">
        <v>46</v>
      </c>
      <c r="D19" s="33">
        <f>G19</f>
        <v>2014</v>
      </c>
      <c r="E19" s="28"/>
      <c r="F19" s="34" t="s">
        <v>48</v>
      </c>
      <c r="G19" s="15">
        <v>2014</v>
      </c>
      <c r="H19" s="28"/>
      <c r="I19" s="37" t="s">
        <v>214</v>
      </c>
      <c r="J19" s="15">
        <v>30</v>
      </c>
      <c r="K19" s="34"/>
      <c r="L19" s="34"/>
      <c r="M19" s="34" t="s">
        <v>50</v>
      </c>
      <c r="N19" s="15">
        <v>24.877</v>
      </c>
      <c r="O19" s="24"/>
    </row>
    <row r="20" spans="2:15" ht="9.75" customHeight="1" thickBot="1">
      <c r="B20" s="21"/>
      <c r="C20" s="31"/>
      <c r="D20" s="35"/>
      <c r="E20" s="28"/>
      <c r="F20" s="34"/>
      <c r="G20" s="35"/>
      <c r="H20" s="28"/>
      <c r="I20" s="34"/>
      <c r="J20" s="35"/>
      <c r="K20" s="35"/>
      <c r="L20" s="35"/>
      <c r="M20" s="35"/>
      <c r="N20" s="28"/>
      <c r="O20" s="24"/>
    </row>
    <row r="21" spans="2:15" ht="17.25" customHeight="1" thickBot="1">
      <c r="B21" s="21"/>
      <c r="C21" s="31" t="s">
        <v>47</v>
      </c>
      <c r="D21" s="36">
        <v>0.05</v>
      </c>
      <c r="E21" s="28"/>
      <c r="F21" s="34" t="s">
        <v>49</v>
      </c>
      <c r="G21" s="15">
        <v>2016</v>
      </c>
      <c r="H21" s="28"/>
      <c r="I21" s="37"/>
      <c r="J21" s="34"/>
      <c r="K21" s="34"/>
      <c r="L21" s="34"/>
      <c r="M21" s="34" t="s">
        <v>51</v>
      </c>
      <c r="N21" s="16">
        <v>0.21</v>
      </c>
      <c r="O21" s="24"/>
    </row>
    <row r="22" spans="2:15" ht="12.75" customHeight="1" thickBot="1"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6"/>
    </row>
    <row r="23" ht="12.75" customHeight="1" thickBot="1"/>
    <row r="24" spans="2:15" ht="12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2:15" ht="12.75" customHeight="1">
      <c r="B25" s="21"/>
      <c r="C25" s="22" t="s">
        <v>208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2:15" ht="12.75" customHeight="1">
      <c r="B26" s="926" t="s">
        <v>206</v>
      </c>
      <c r="C26" s="927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5"/>
      <c r="O26" s="24"/>
    </row>
    <row r="27" spans="2:15" ht="12.75" customHeight="1">
      <c r="B27" s="926"/>
      <c r="C27" s="93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929"/>
      <c r="O27" s="24"/>
    </row>
    <row r="28" spans="2:15" ht="12.75" customHeight="1">
      <c r="B28" s="926"/>
      <c r="C28" s="9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929"/>
      <c r="O28" s="24"/>
    </row>
    <row r="29" spans="2:15" ht="12.75">
      <c r="B29" s="926"/>
      <c r="C29" s="930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2"/>
      <c r="O29" s="24"/>
    </row>
    <row r="30" spans="2:15" ht="12.75" customHeight="1"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</row>
    <row r="31" spans="2:15" ht="12.75" customHeight="1">
      <c r="B31" s="926" t="s">
        <v>207</v>
      </c>
      <c r="C31" s="933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5"/>
      <c r="O31" s="24"/>
    </row>
    <row r="32" spans="2:15" ht="12.75" customHeight="1">
      <c r="B32" s="926"/>
      <c r="C32" s="936"/>
      <c r="D32" s="937"/>
      <c r="E32" s="937"/>
      <c r="F32" s="937"/>
      <c r="G32" s="937"/>
      <c r="H32" s="937"/>
      <c r="I32" s="937"/>
      <c r="J32" s="937"/>
      <c r="K32" s="937"/>
      <c r="L32" s="937"/>
      <c r="M32" s="937"/>
      <c r="N32" s="938"/>
      <c r="O32" s="24"/>
    </row>
    <row r="33" spans="2:15" ht="12.75" customHeight="1">
      <c r="B33" s="926"/>
      <c r="C33" s="936"/>
      <c r="D33" s="937"/>
      <c r="E33" s="937"/>
      <c r="F33" s="937"/>
      <c r="G33" s="937"/>
      <c r="H33" s="937"/>
      <c r="I33" s="937"/>
      <c r="J33" s="937"/>
      <c r="K33" s="937"/>
      <c r="L33" s="937"/>
      <c r="M33" s="937"/>
      <c r="N33" s="938"/>
      <c r="O33" s="24"/>
    </row>
    <row r="34" spans="2:15" ht="12.75">
      <c r="B34" s="926"/>
      <c r="C34" s="939"/>
      <c r="D34" s="940"/>
      <c r="E34" s="940"/>
      <c r="F34" s="940"/>
      <c r="G34" s="940"/>
      <c r="H34" s="940"/>
      <c r="I34" s="940"/>
      <c r="J34" s="940"/>
      <c r="K34" s="940"/>
      <c r="L34" s="940"/>
      <c r="M34" s="940"/>
      <c r="N34" s="941"/>
      <c r="O34" s="24"/>
    </row>
    <row r="35" spans="2:15" ht="12.75" customHeight="1" thickBot="1">
      <c r="B35" s="2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6"/>
    </row>
    <row r="36" ht="12.75" customHeight="1" thickBot="1"/>
    <row r="37" spans="2:15" ht="12.7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2:15" ht="12.75" customHeight="1">
      <c r="B38" s="21"/>
      <c r="C38" s="22" t="s">
        <v>53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</row>
    <row r="39" spans="2:15" ht="37.5" customHeight="1" thickBot="1">
      <c r="B39" s="2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4"/>
    </row>
    <row r="40" spans="2:15" ht="25.5" customHeight="1" thickBot="1">
      <c r="B40" s="21"/>
      <c r="C40" s="944" t="s">
        <v>54</v>
      </c>
      <c r="D40" s="945"/>
      <c r="E40" s="40" t="s">
        <v>58</v>
      </c>
      <c r="F40" s="41" t="s">
        <v>59</v>
      </c>
      <c r="G40" s="41" t="s">
        <v>60</v>
      </c>
      <c r="H40" s="41" t="s">
        <v>61</v>
      </c>
      <c r="I40" s="41" t="s">
        <v>303</v>
      </c>
      <c r="J40" s="41" t="s">
        <v>62</v>
      </c>
      <c r="K40" s="41" t="s">
        <v>160</v>
      </c>
      <c r="L40" s="41" t="s">
        <v>63</v>
      </c>
      <c r="M40" s="41" t="s">
        <v>64</v>
      </c>
      <c r="N40" s="42" t="s">
        <v>18</v>
      </c>
      <c r="O40" s="43"/>
    </row>
    <row r="41" spans="2:15" ht="12.75" customHeight="1">
      <c r="B41" s="21"/>
      <c r="C41" s="953" t="s">
        <v>163</v>
      </c>
      <c r="D41" s="954"/>
      <c r="E41" s="44" t="s">
        <v>16</v>
      </c>
      <c r="F41" s="45" t="s">
        <v>38</v>
      </c>
      <c r="G41" s="45" t="s">
        <v>39</v>
      </c>
      <c r="H41" s="45" t="s">
        <v>40</v>
      </c>
      <c r="I41" s="45" t="s">
        <v>28</v>
      </c>
      <c r="J41" s="45" t="s">
        <v>302</v>
      </c>
      <c r="K41" s="45" t="s">
        <v>41</v>
      </c>
      <c r="L41" s="45" t="s">
        <v>21</v>
      </c>
      <c r="M41" s="45" t="s">
        <v>24</v>
      </c>
      <c r="N41" s="46" t="s">
        <v>23</v>
      </c>
      <c r="O41" s="43"/>
    </row>
    <row r="42" spans="2:15" ht="12.75" customHeight="1" thickBot="1">
      <c r="B42" s="21"/>
      <c r="C42" s="942" t="s">
        <v>164</v>
      </c>
      <c r="D42" s="943"/>
      <c r="E42" s="47" t="s">
        <v>17</v>
      </c>
      <c r="F42" s="48"/>
      <c r="G42" s="48"/>
      <c r="H42" s="48"/>
      <c r="I42" s="48"/>
      <c r="J42" s="48"/>
      <c r="K42" s="48" t="s">
        <v>20</v>
      </c>
      <c r="L42" s="48" t="s">
        <v>22</v>
      </c>
      <c r="M42" s="49"/>
      <c r="N42" s="50"/>
      <c r="O42" s="43"/>
    </row>
    <row r="43" spans="2:15" ht="12.75" customHeight="1">
      <c r="B43" s="21"/>
      <c r="C43" s="51"/>
      <c r="D43" s="5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43"/>
    </row>
    <row r="44" spans="2:15" ht="12.75" customHeight="1">
      <c r="B44" s="21"/>
      <c r="C44" s="52" t="s">
        <v>55</v>
      </c>
      <c r="D44" s="5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43"/>
    </row>
    <row r="45" spans="2:15" ht="12.75" customHeight="1">
      <c r="B45" s="21"/>
      <c r="C45" s="53" t="s">
        <v>56</v>
      </c>
      <c r="D45" s="5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43"/>
    </row>
    <row r="46" spans="2:15" ht="12.75" customHeight="1" thickBot="1"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6"/>
    </row>
    <row r="47" ht="12.75" customHeight="1" thickBot="1"/>
    <row r="48" spans="2:15" ht="12.7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2:15" ht="12.75">
      <c r="B49" s="21"/>
      <c r="C49" s="22" t="s">
        <v>65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</row>
    <row r="50" spans="2:15" ht="13.5" thickBot="1">
      <c r="B50" s="2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4"/>
    </row>
    <row r="51" spans="2:15" ht="14.25" customHeight="1">
      <c r="B51" s="21"/>
      <c r="C51" s="54" t="s">
        <v>66</v>
      </c>
      <c r="D51" s="54">
        <v>2005</v>
      </c>
      <c r="E51" s="54">
        <v>2006</v>
      </c>
      <c r="F51" s="54">
        <v>2007</v>
      </c>
      <c r="G51" s="54">
        <v>2008</v>
      </c>
      <c r="H51" s="54">
        <v>2009</v>
      </c>
      <c r="I51" s="54">
        <v>2010</v>
      </c>
      <c r="J51" s="54">
        <v>2011</v>
      </c>
      <c r="K51" s="54">
        <v>2012</v>
      </c>
      <c r="L51" s="54">
        <v>2013</v>
      </c>
      <c r="M51" s="54">
        <v>2014</v>
      </c>
      <c r="N51" s="55" t="s">
        <v>315</v>
      </c>
      <c r="O51" s="56"/>
    </row>
    <row r="52" spans="2:15" ht="13.5" thickBot="1">
      <c r="B52" s="21"/>
      <c r="C52" s="57" t="s">
        <v>283</v>
      </c>
      <c r="D52" s="58">
        <v>0.019</v>
      </c>
      <c r="E52" s="58">
        <v>0.025</v>
      </c>
      <c r="F52" s="58">
        <v>0.028</v>
      </c>
      <c r="G52" s="58">
        <v>0.063</v>
      </c>
      <c r="H52" s="58">
        <v>0.01</v>
      </c>
      <c r="I52" s="58">
        <v>0.015</v>
      </c>
      <c r="J52" s="58">
        <v>0.019</v>
      </c>
      <c r="K52" s="58">
        <v>0.033</v>
      </c>
      <c r="L52" s="58">
        <v>0.014</v>
      </c>
      <c r="M52" s="58">
        <v>0.012</v>
      </c>
      <c r="N52" s="59">
        <v>0.026</v>
      </c>
      <c r="O52" s="60"/>
    </row>
    <row r="53" spans="2:15" ht="12.75">
      <c r="B53" s="21"/>
      <c r="C53" s="28"/>
      <c r="D53" s="901">
        <v>1</v>
      </c>
      <c r="E53" s="901">
        <v>1</v>
      </c>
      <c r="F53" s="901">
        <v>1</v>
      </c>
      <c r="G53" s="901">
        <v>1</v>
      </c>
      <c r="H53" s="901">
        <v>1</v>
      </c>
      <c r="I53" s="901">
        <v>1</v>
      </c>
      <c r="J53" s="901">
        <v>1</v>
      </c>
      <c r="K53" s="901">
        <v>1</v>
      </c>
      <c r="L53" s="901">
        <f>K53*(1+L52)</f>
        <v>1.014</v>
      </c>
      <c r="M53" s="901">
        <f>L53*(1+M52)</f>
        <v>1.026168</v>
      </c>
      <c r="N53" s="901">
        <f>M53*(1+N52)</f>
        <v>1.052848368</v>
      </c>
      <c r="O53" s="60"/>
    </row>
    <row r="54" spans="2:15" ht="12.75">
      <c r="B54" s="21"/>
      <c r="C54" s="53" t="s">
        <v>314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60"/>
    </row>
    <row r="55" spans="2:15" ht="12.75">
      <c r="B55" s="2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60"/>
    </row>
    <row r="56" spans="2:15" ht="12.75">
      <c r="B56" s="21"/>
      <c r="C56" s="22" t="s">
        <v>254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0"/>
    </row>
    <row r="57" spans="2:15" ht="13.5" thickBot="1">
      <c r="B57" s="2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60"/>
    </row>
    <row r="58" spans="2:15" ht="12.75">
      <c r="B58" s="21"/>
      <c r="C58" s="54" t="s">
        <v>66</v>
      </c>
      <c r="D58" s="54">
        <v>2005</v>
      </c>
      <c r="E58" s="54">
        <v>2006</v>
      </c>
      <c r="F58" s="54">
        <v>2007</v>
      </c>
      <c r="G58" s="54">
        <v>2008</v>
      </c>
      <c r="H58" s="54">
        <v>2009</v>
      </c>
      <c r="I58" s="54">
        <v>2010</v>
      </c>
      <c r="J58" s="54">
        <v>2011</v>
      </c>
      <c r="K58" s="54">
        <v>2012</v>
      </c>
      <c r="L58" s="54">
        <v>2013</v>
      </c>
      <c r="M58" s="54">
        <v>2014</v>
      </c>
      <c r="N58" s="55">
        <v>2015</v>
      </c>
      <c r="O58" s="60"/>
    </row>
    <row r="59" spans="2:15" ht="13.5" thickBot="1">
      <c r="B59" s="21"/>
      <c r="C59" s="57" t="s">
        <v>283</v>
      </c>
      <c r="D59" s="58">
        <v>0.03</v>
      </c>
      <c r="E59" s="58">
        <v>0.029</v>
      </c>
      <c r="F59" s="58">
        <v>0.041</v>
      </c>
      <c r="G59" s="58">
        <v>0.045</v>
      </c>
      <c r="H59" s="58">
        <v>0.012</v>
      </c>
      <c r="I59" s="58">
        <v>-0.002</v>
      </c>
      <c r="J59" s="58">
        <v>-0.005</v>
      </c>
      <c r="K59" s="58">
        <v>-0.007</v>
      </c>
      <c r="L59" s="58">
        <v>-0.0058</v>
      </c>
      <c r="M59" s="58">
        <v>0</v>
      </c>
      <c r="N59" s="59">
        <v>0</v>
      </c>
      <c r="O59" s="60"/>
    </row>
    <row r="60" spans="2:15" ht="12.75">
      <c r="B60" s="21"/>
      <c r="C60" s="28"/>
      <c r="D60" s="901">
        <v>1</v>
      </c>
      <c r="E60" s="901">
        <v>1</v>
      </c>
      <c r="F60" s="901">
        <v>1</v>
      </c>
      <c r="G60" s="901">
        <v>1</v>
      </c>
      <c r="H60" s="901">
        <v>1</v>
      </c>
      <c r="I60" s="901">
        <v>1</v>
      </c>
      <c r="J60" s="901">
        <v>1</v>
      </c>
      <c r="K60" s="901">
        <v>1</v>
      </c>
      <c r="L60" s="901">
        <f>K60*(1+L59)</f>
        <v>0.9942</v>
      </c>
      <c r="M60" s="901">
        <f>L60*(1+M59)</f>
        <v>0.9942</v>
      </c>
      <c r="N60" s="901">
        <f>M60*(1+N59)</f>
        <v>0.9942</v>
      </c>
      <c r="O60" s="60"/>
    </row>
    <row r="61" spans="2:15" ht="12.75">
      <c r="B61" s="21"/>
      <c r="C61" s="53" t="s">
        <v>327</v>
      </c>
      <c r="D61" s="30"/>
      <c r="E61" s="30"/>
      <c r="F61" s="30"/>
      <c r="G61" s="30"/>
      <c r="H61" s="28"/>
      <c r="I61" s="28"/>
      <c r="J61" s="28"/>
      <c r="K61" s="28"/>
      <c r="L61" s="28"/>
      <c r="M61" s="28"/>
      <c r="N61" s="28"/>
      <c r="O61" s="60"/>
    </row>
    <row r="62" spans="2:15" ht="13.5" thickBo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</row>
    <row r="63" ht="13.5" thickBot="1">
      <c r="C63" s="918" t="s">
        <v>316</v>
      </c>
    </row>
    <row r="64" spans="2:15" ht="12.75"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ht="12.75">
      <c r="B65" s="21"/>
      <c r="C65" s="22" t="s">
        <v>313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</row>
    <row r="66" spans="2:15" ht="13.5" thickBot="1">
      <c r="B66" s="2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4"/>
    </row>
    <row r="67" spans="1:15" ht="12.75">
      <c r="A67" s="12" t="s">
        <v>2</v>
      </c>
      <c r="B67" s="21"/>
      <c r="C67" s="54" t="s">
        <v>66</v>
      </c>
      <c r="D67" s="54">
        <v>2005</v>
      </c>
      <c r="E67" s="54">
        <v>2006</v>
      </c>
      <c r="F67" s="54">
        <v>2007</v>
      </c>
      <c r="G67" s="54">
        <v>2008</v>
      </c>
      <c r="H67" s="54">
        <v>2009</v>
      </c>
      <c r="I67" s="54">
        <v>2010</v>
      </c>
      <c r="J67" s="54">
        <v>2011</v>
      </c>
      <c r="K67" s="54">
        <v>2012</v>
      </c>
      <c r="L67" s="54">
        <v>2013</v>
      </c>
      <c r="M67" s="54">
        <v>2014</v>
      </c>
      <c r="N67" s="55">
        <v>2015</v>
      </c>
      <c r="O67" s="56"/>
    </row>
    <row r="68" spans="2:15" ht="13.5" thickBot="1">
      <c r="B68" s="21"/>
      <c r="C68" s="57" t="s">
        <v>313</v>
      </c>
      <c r="D68" s="58">
        <v>0.065</v>
      </c>
      <c r="E68" s="58">
        <v>0.067</v>
      </c>
      <c r="F68" s="58">
        <v>0.052</v>
      </c>
      <c r="G68" s="58">
        <v>0.02</v>
      </c>
      <c r="H68" s="58">
        <v>-0.051</v>
      </c>
      <c r="I68" s="58">
        <v>0.022</v>
      </c>
      <c r="J68" s="58">
        <v>0.02</v>
      </c>
      <c r="K68" s="58">
        <v>-0.011</v>
      </c>
      <c r="L68" s="58">
        <v>-0.013</v>
      </c>
      <c r="M68" s="58">
        <v>0.022</v>
      </c>
      <c r="N68" s="59">
        <v>0.028</v>
      </c>
      <c r="O68" s="65"/>
    </row>
    <row r="69" spans="2:15" ht="12.75">
      <c r="B69" s="21"/>
      <c r="C69" s="54" t="s">
        <v>66</v>
      </c>
      <c r="D69" s="54">
        <v>2016</v>
      </c>
      <c r="E69" s="54">
        <v>2017</v>
      </c>
      <c r="F69" s="54">
        <v>2018</v>
      </c>
      <c r="G69" s="54">
        <v>2019</v>
      </c>
      <c r="H69" s="54">
        <v>2020</v>
      </c>
      <c r="I69" s="54">
        <v>2030</v>
      </c>
      <c r="J69" s="54">
        <v>2050</v>
      </c>
      <c r="K69" s="54"/>
      <c r="L69" s="54"/>
      <c r="M69" s="54"/>
      <c r="N69" s="55"/>
      <c r="O69" s="65"/>
    </row>
    <row r="70" spans="2:15" ht="13.5" thickBot="1">
      <c r="B70" s="21"/>
      <c r="C70" s="57" t="s">
        <v>313</v>
      </c>
      <c r="D70" s="58">
        <v>0.03</v>
      </c>
      <c r="E70" s="58">
        <v>0.03</v>
      </c>
      <c r="F70" s="59">
        <v>0.03</v>
      </c>
      <c r="G70" s="58">
        <v>0.03</v>
      </c>
      <c r="H70" s="58">
        <v>0.02</v>
      </c>
      <c r="I70" s="58">
        <v>0.01</v>
      </c>
      <c r="J70" s="58">
        <v>0.01</v>
      </c>
      <c r="K70" s="58"/>
      <c r="L70" s="58"/>
      <c r="M70" s="58"/>
      <c r="N70" s="59"/>
      <c r="O70" s="65"/>
    </row>
    <row r="71" spans="2:15" ht="12.75">
      <c r="B71" s="2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65"/>
    </row>
    <row r="72" spans="2:15" ht="12.75">
      <c r="B72" s="21"/>
      <c r="C72" s="53" t="s">
        <v>314</v>
      </c>
      <c r="D72" s="66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65"/>
    </row>
    <row r="73" spans="2:15" ht="13.5" thickBo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</row>
    <row r="74" ht="13.5" thickBot="1"/>
    <row r="75" spans="2:15" ht="12.75"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</row>
    <row r="76" spans="2:15" ht="12.75">
      <c r="B76" s="21"/>
      <c r="C76" s="22" t="s">
        <v>282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2:15" ht="13.5" thickBot="1">
      <c r="B77" s="2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4"/>
    </row>
    <row r="78" spans="1:15" ht="12.75">
      <c r="A78" s="12" t="s">
        <v>2</v>
      </c>
      <c r="B78" s="21"/>
      <c r="C78" s="54" t="s">
        <v>66</v>
      </c>
      <c r="D78" s="54">
        <v>2012</v>
      </c>
      <c r="E78" s="54">
        <v>2013</v>
      </c>
      <c r="F78" s="54">
        <v>2014</v>
      </c>
      <c r="G78" s="54">
        <v>2015</v>
      </c>
      <c r="H78" s="54">
        <v>2016</v>
      </c>
      <c r="I78" s="54">
        <v>2017</v>
      </c>
      <c r="J78" s="54">
        <v>2018</v>
      </c>
      <c r="K78" s="54">
        <v>2019</v>
      </c>
      <c r="L78" s="54">
        <v>2020</v>
      </c>
      <c r="M78" s="54">
        <v>2030</v>
      </c>
      <c r="N78" s="55">
        <v>2050</v>
      </c>
      <c r="O78" s="56"/>
    </row>
    <row r="79" spans="2:15" ht="13.5" thickBot="1">
      <c r="B79" s="21"/>
      <c r="C79" s="57" t="s">
        <v>284</v>
      </c>
      <c r="D79" s="58">
        <v>-0.006</v>
      </c>
      <c r="E79" s="58">
        <v>-0.009</v>
      </c>
      <c r="F79" s="58">
        <v>0.015</v>
      </c>
      <c r="G79" s="58">
        <v>0.015</v>
      </c>
      <c r="H79" s="58">
        <v>0.03</v>
      </c>
      <c r="I79" s="58">
        <v>0.03</v>
      </c>
      <c r="J79" s="58">
        <v>0.03</v>
      </c>
      <c r="K79" s="58">
        <v>0.03</v>
      </c>
      <c r="L79" s="58">
        <v>0.025</v>
      </c>
      <c r="M79" s="58">
        <v>0.02</v>
      </c>
      <c r="N79" s="59">
        <v>0.02</v>
      </c>
      <c r="O79" s="65"/>
    </row>
    <row r="80" spans="2:15" ht="12.75">
      <c r="B80" s="21"/>
      <c r="C80" s="28"/>
      <c r="D80" s="901">
        <v>1</v>
      </c>
      <c r="E80" s="901">
        <f>D80*(1+E79*'3 Provozní náklady'!$D$71)</f>
        <v>0.991</v>
      </c>
      <c r="F80" s="901">
        <f>E80*(1+F79*'3 Provozní náklady'!$D$71)</f>
        <v>1.0058649999999998</v>
      </c>
      <c r="G80" s="901">
        <f>F80*(1+G79*'3 Provozní náklady'!$D$71)</f>
        <v>1.0209529749999997</v>
      </c>
      <c r="H80" s="901">
        <f>G80*(1+H79*'3 Provozní náklady'!$D$71)</f>
        <v>1.0515815642499997</v>
      </c>
      <c r="I80" s="901">
        <f>H80*(1+I79*'3 Provozní náklady'!$D$71)</f>
        <v>1.0831290111774998</v>
      </c>
      <c r="J80" s="901">
        <f>I80*(1+J79*'3 Provozní náklady'!$D$71)</f>
        <v>1.1156228815128248</v>
      </c>
      <c r="K80" s="901">
        <f>J80*(1+K79*'3 Provozní náklady'!$D$71)</f>
        <v>1.1490915679582097</v>
      </c>
      <c r="L80" s="901">
        <f>K80*(1+L79*'3 Provozní náklady'!$D$71)</f>
        <v>1.1778188571571648</v>
      </c>
      <c r="M80" s="901">
        <f>L80*(1+M79*'3 Provozní náklady'!$D$71)^(M78-L78)</f>
        <v>1.4357546146391857</v>
      </c>
      <c r="N80" s="901">
        <f>M80*(1+N79*'3 Provozní náklady'!$D$71)^(N78-M78)</f>
        <v>2.1334558308870037</v>
      </c>
      <c r="O80" s="65"/>
    </row>
    <row r="81" spans="2:15" ht="12.75">
      <c r="B81" s="21"/>
      <c r="C81" s="53" t="s">
        <v>317</v>
      </c>
      <c r="D81" s="66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65"/>
    </row>
    <row r="82" spans="2:15" ht="13.5" thickBo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</row>
    <row r="83" ht="12.75">
      <c r="C83" s="27"/>
    </row>
    <row r="84" ht="13.5" thickBot="1">
      <c r="A84" s="67"/>
    </row>
    <row r="85" spans="2:15" ht="12.75">
      <c r="B85" s="18"/>
      <c r="C85" s="19"/>
      <c r="D85" s="19"/>
      <c r="E85" s="19"/>
      <c r="F85" s="19"/>
      <c r="G85" s="68"/>
      <c r="H85" s="68"/>
      <c r="I85" s="68"/>
      <c r="J85" s="68"/>
      <c r="K85" s="19"/>
      <c r="L85" s="68"/>
      <c r="M85" s="19"/>
      <c r="N85" s="19"/>
      <c r="O85" s="20"/>
    </row>
    <row r="86" spans="2:15" ht="12.75">
      <c r="B86" s="21"/>
      <c r="C86" s="69" t="s">
        <v>52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4"/>
    </row>
    <row r="87" spans="2:15" ht="13.5" thickBot="1">
      <c r="B87" s="25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6"/>
    </row>
    <row r="90" spans="6:15" ht="12.75"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6:11" ht="12.75">
      <c r="F91" s="17"/>
      <c r="G91" s="17"/>
      <c r="H91" s="17"/>
      <c r="I91" s="17"/>
      <c r="J91" s="17"/>
      <c r="K91" s="1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9">
    <mergeCell ref="C42:D42"/>
    <mergeCell ref="C40:D40"/>
    <mergeCell ref="C5:N12"/>
    <mergeCell ref="D17:N17"/>
    <mergeCell ref="C41:D41"/>
    <mergeCell ref="B26:B29"/>
    <mergeCell ref="C26:N29"/>
    <mergeCell ref="B31:B34"/>
    <mergeCell ref="C31:N34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44" r:id="rId3"/>
  <headerFooter alignWithMargins="0">
    <oddFooter>&amp;L0 Úvod&amp;C15.9.2010</oddFooter>
  </headerFooter>
  <ignoredErrors>
    <ignoredError sqref="D19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AC4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72" customWidth="1"/>
    <col min="2" max="2" width="5.7109375" style="72" customWidth="1"/>
    <col min="3" max="3" width="36.28125" style="72" customWidth="1"/>
    <col min="4" max="4" width="12.28125" style="72" customWidth="1"/>
    <col min="5" max="29" width="10.7109375" style="72" customWidth="1"/>
    <col min="30" max="35" width="7.140625" style="72" customWidth="1"/>
    <col min="36" max="16384" width="9.140625" style="72" customWidth="1"/>
  </cols>
  <sheetData>
    <row r="1" ht="12" thickBot="1">
      <c r="A1" s="199" t="s">
        <v>2</v>
      </c>
    </row>
    <row r="2" spans="2:29" s="199" customFormat="1" ht="12.75">
      <c r="B2" s="614" t="s">
        <v>24</v>
      </c>
      <c r="C2" s="109" t="s">
        <v>145</v>
      </c>
      <c r="D2" s="110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1:29" s="199" customFormat="1" ht="13.5" thickBot="1">
      <c r="A3" s="811"/>
      <c r="B3" s="111" t="s">
        <v>25</v>
      </c>
      <c r="C3" s="792" t="s">
        <v>136</v>
      </c>
      <c r="D3" s="558" t="s">
        <v>3</v>
      </c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968"/>
    </row>
    <row r="4" spans="1:29" ht="12">
      <c r="A4" s="811"/>
      <c r="B4" s="816"/>
      <c r="C4" s="616" t="s">
        <v>191</v>
      </c>
      <c r="D4" s="817">
        <f aca="true" t="shared" si="2" ref="D4:D16">SUM(E4:AC4,E21:AC21)</f>
        <v>0</v>
      </c>
      <c r="E4" s="818">
        <f>'4 Tržby'!E7</f>
        <v>0</v>
      </c>
      <c r="F4" s="819">
        <f>'4 Tržby'!F7</f>
        <v>0</v>
      </c>
      <c r="G4" s="819">
        <f>'4 Tržby'!G7</f>
        <v>0</v>
      </c>
      <c r="H4" s="819">
        <f>'4 Tržby'!H7</f>
        <v>0</v>
      </c>
      <c r="I4" s="819">
        <f>'4 Tržby'!I7</f>
        <v>0</v>
      </c>
      <c r="J4" s="819">
        <f>'4 Tržby'!J7</f>
        <v>0</v>
      </c>
      <c r="K4" s="819">
        <f>'4 Tržby'!K7</f>
        <v>0</v>
      </c>
      <c r="L4" s="819">
        <f>'4 Tržby'!L7</f>
        <v>0</v>
      </c>
      <c r="M4" s="819">
        <f>'4 Tržby'!M7</f>
        <v>0</v>
      </c>
      <c r="N4" s="819">
        <f>'4 Tržby'!N7</f>
        <v>0</v>
      </c>
      <c r="O4" s="819">
        <f>'4 Tržby'!O7</f>
        <v>0</v>
      </c>
      <c r="P4" s="819">
        <f>'4 Tržby'!P7</f>
        <v>0</v>
      </c>
      <c r="Q4" s="819">
        <f>'4 Tržby'!Q7</f>
        <v>0</v>
      </c>
      <c r="R4" s="819">
        <f>'4 Tržby'!R7</f>
        <v>0</v>
      </c>
      <c r="S4" s="819">
        <f>'4 Tržby'!S7</f>
        <v>0</v>
      </c>
      <c r="T4" s="819">
        <f>'4 Tržby'!T7</f>
        <v>0</v>
      </c>
      <c r="U4" s="819">
        <f>'4 Tržby'!U7</f>
        <v>0</v>
      </c>
      <c r="V4" s="819">
        <f>'4 Tržby'!V7</f>
        <v>0</v>
      </c>
      <c r="W4" s="819">
        <f>'4 Tržby'!W7</f>
        <v>0</v>
      </c>
      <c r="X4" s="819">
        <f>'4 Tržby'!X7</f>
        <v>0</v>
      </c>
      <c r="Y4" s="819">
        <f>'4 Tržby'!Y7</f>
        <v>0</v>
      </c>
      <c r="Z4" s="819">
        <f>'4 Tržby'!Z7</f>
        <v>0</v>
      </c>
      <c r="AA4" s="819">
        <f>'4 Tržby'!AA7</f>
        <v>0</v>
      </c>
      <c r="AB4" s="819">
        <f>'4 Tržby'!AB7</f>
        <v>0</v>
      </c>
      <c r="AC4" s="820">
        <f>'4 Tržby'!AC7</f>
        <v>0</v>
      </c>
    </row>
    <row r="5" spans="1:29" ht="12">
      <c r="A5" s="811"/>
      <c r="B5" s="816"/>
      <c r="C5" s="337" t="s">
        <v>146</v>
      </c>
      <c r="D5" s="821">
        <f t="shared" si="2"/>
        <v>0</v>
      </c>
      <c r="E5" s="822">
        <f>'8 Finanční struktura'!E7</f>
        <v>0</v>
      </c>
      <c r="F5" s="823">
        <f>'8 Finanční struktura'!F7</f>
        <v>0</v>
      </c>
      <c r="G5" s="823">
        <f>'8 Finanční struktura'!G7</f>
        <v>0</v>
      </c>
      <c r="H5" s="823">
        <f>'8 Finanční struktura'!H7</f>
        <v>0</v>
      </c>
      <c r="I5" s="823">
        <f>'8 Finanční struktura'!I7</f>
        <v>0</v>
      </c>
      <c r="J5" s="823">
        <f>'8 Finanční struktura'!J7</f>
        <v>0</v>
      </c>
      <c r="K5" s="823">
        <f>'8 Finanční struktura'!K7</f>
        <v>0</v>
      </c>
      <c r="L5" s="823">
        <f>'8 Finanční struktura'!L7</f>
        <v>0</v>
      </c>
      <c r="M5" s="823">
        <f>'8 Finanční struktura'!M7</f>
        <v>0</v>
      </c>
      <c r="N5" s="823">
        <f>'8 Finanční struktura'!N7</f>
        <v>0</v>
      </c>
      <c r="O5" s="823">
        <f>'8 Finanční struktura'!O7</f>
        <v>0</v>
      </c>
      <c r="P5" s="823">
        <f>'8 Finanční struktura'!P7</f>
        <v>0</v>
      </c>
      <c r="Q5" s="823">
        <f>'8 Finanční struktura'!Q7</f>
        <v>0</v>
      </c>
      <c r="R5" s="823">
        <f>'8 Finanční struktura'!R7</f>
        <v>0</v>
      </c>
      <c r="S5" s="823">
        <f>'8 Finanční struktura'!S7</f>
        <v>0</v>
      </c>
      <c r="T5" s="823">
        <f>'8 Finanční struktura'!T7</f>
        <v>0</v>
      </c>
      <c r="U5" s="823">
        <f>'8 Finanční struktura'!U7</f>
        <v>0</v>
      </c>
      <c r="V5" s="823">
        <f>'8 Finanční struktura'!V7</f>
        <v>0</v>
      </c>
      <c r="W5" s="823">
        <f>'8 Finanční struktura'!W7</f>
        <v>0</v>
      </c>
      <c r="X5" s="823">
        <f>'8 Finanční struktura'!X7</f>
        <v>0</v>
      </c>
      <c r="Y5" s="823">
        <f>'8 Finanční struktura'!Y7</f>
        <v>0</v>
      </c>
      <c r="Z5" s="823">
        <f>'8 Finanční struktura'!Z7</f>
        <v>0</v>
      </c>
      <c r="AA5" s="823">
        <f>'8 Finanční struktura'!AA7</f>
        <v>0</v>
      </c>
      <c r="AB5" s="823">
        <f>'8 Finanční struktura'!AB7</f>
        <v>0</v>
      </c>
      <c r="AC5" s="824">
        <f>'8 Finanční struktura'!AC7</f>
        <v>0</v>
      </c>
    </row>
    <row r="6" spans="1:29" ht="12">
      <c r="A6" s="811" t="s">
        <v>2</v>
      </c>
      <c r="B6" s="816"/>
      <c r="C6" s="120" t="s">
        <v>139</v>
      </c>
      <c r="D6" s="821">
        <f t="shared" si="2"/>
        <v>0</v>
      </c>
      <c r="E6" s="825">
        <f>'8 Finanční struktura'!E6</f>
        <v>0</v>
      </c>
      <c r="F6" s="826">
        <f>'8 Finanční struktura'!F6</f>
        <v>0</v>
      </c>
      <c r="G6" s="826">
        <f>'8 Finanční struktura'!G6</f>
        <v>0</v>
      </c>
      <c r="H6" s="826">
        <f>'8 Finanční struktura'!H6</f>
        <v>0</v>
      </c>
      <c r="I6" s="826">
        <f>'8 Finanční struktura'!S6</f>
        <v>0</v>
      </c>
      <c r="J6" s="826">
        <f>'8 Finanční struktura'!T6</f>
        <v>0</v>
      </c>
      <c r="K6" s="826">
        <f>'8 Finanční struktura'!U6</f>
        <v>0</v>
      </c>
      <c r="L6" s="826">
        <f>'8 Finanční struktura'!V6</f>
        <v>0</v>
      </c>
      <c r="M6" s="826">
        <f>'8 Finanční struktura'!W6</f>
        <v>0</v>
      </c>
      <c r="N6" s="826">
        <f>'8 Finanční struktura'!X6</f>
        <v>0</v>
      </c>
      <c r="O6" s="826">
        <f>'8 Finanční struktura'!Y6</f>
        <v>0</v>
      </c>
      <c r="P6" s="826">
        <f>'8 Finanční struktura'!Z6</f>
        <v>0</v>
      </c>
      <c r="Q6" s="826">
        <f>'8 Finanční struktura'!AA6</f>
        <v>0</v>
      </c>
      <c r="R6" s="826">
        <f>'8 Finanční struktura'!AB6</f>
        <v>0</v>
      </c>
      <c r="S6" s="826">
        <f>'8 Finanční struktura'!AC6</f>
        <v>0</v>
      </c>
      <c r="T6" s="826">
        <f>'8 Finanční struktura'!AD6</f>
        <v>0</v>
      </c>
      <c r="U6" s="826">
        <f>'8 Finanční struktura'!AE6</f>
        <v>0</v>
      </c>
      <c r="V6" s="826">
        <f>'8 Finanční struktura'!AF6</f>
        <v>0</v>
      </c>
      <c r="W6" s="826">
        <f>'8 Finanční struktura'!AG6</f>
        <v>0</v>
      </c>
      <c r="X6" s="826">
        <f>'8 Finanční struktura'!AH6</f>
        <v>0</v>
      </c>
      <c r="Y6" s="826">
        <f>'8 Finanční struktura'!AI6</f>
        <v>0</v>
      </c>
      <c r="Z6" s="826">
        <f>'8 Finanční struktura'!AJ6</f>
        <v>0</v>
      </c>
      <c r="AA6" s="826">
        <f>'8 Finanční struktura'!AK6</f>
        <v>0</v>
      </c>
      <c r="AB6" s="826">
        <f>'8 Finanční struktura'!AL6</f>
        <v>0</v>
      </c>
      <c r="AC6" s="827">
        <f>'8 Finanční struktura'!AM6</f>
        <v>0</v>
      </c>
    </row>
    <row r="7" spans="1:29" ht="12">
      <c r="A7" s="812" t="s">
        <v>2</v>
      </c>
      <c r="B7" s="816"/>
      <c r="C7" s="828" t="s">
        <v>142</v>
      </c>
      <c r="D7" s="829">
        <f t="shared" si="2"/>
        <v>0</v>
      </c>
      <c r="E7" s="825">
        <f>'8 Finanční struktura'!E8</f>
        <v>0</v>
      </c>
      <c r="F7" s="826">
        <f>'8 Finanční struktura'!F8</f>
        <v>0</v>
      </c>
      <c r="G7" s="826">
        <f>'8 Finanční struktura'!G8</f>
        <v>0</v>
      </c>
      <c r="H7" s="826">
        <f>'8 Finanční struktura'!H8</f>
        <v>0</v>
      </c>
      <c r="I7" s="826">
        <f>'8 Finanční struktura'!S8</f>
        <v>0</v>
      </c>
      <c r="J7" s="826">
        <f>'8 Finanční struktura'!T8</f>
        <v>0</v>
      </c>
      <c r="K7" s="826">
        <f>'8 Finanční struktura'!U8</f>
        <v>0</v>
      </c>
      <c r="L7" s="826">
        <f>'8 Finanční struktura'!V8</f>
        <v>0</v>
      </c>
      <c r="M7" s="826">
        <f>'8 Finanční struktura'!W8</f>
        <v>0</v>
      </c>
      <c r="N7" s="826">
        <f>'8 Finanční struktura'!X8</f>
        <v>0</v>
      </c>
      <c r="O7" s="826">
        <f>'8 Finanční struktura'!Y8</f>
        <v>0</v>
      </c>
      <c r="P7" s="826">
        <f>'8 Finanční struktura'!Z8</f>
        <v>0</v>
      </c>
      <c r="Q7" s="826">
        <f>'8 Finanční struktura'!AA8</f>
        <v>0</v>
      </c>
      <c r="R7" s="826">
        <f>'8 Finanční struktura'!AC8</f>
        <v>0</v>
      </c>
      <c r="S7" s="826">
        <f>'8 Finanční struktura'!AD8</f>
        <v>0</v>
      </c>
      <c r="T7" s="826">
        <f>'8 Finanční struktura'!AE8</f>
        <v>0</v>
      </c>
      <c r="U7" s="826">
        <f>'8 Finanční struktura'!AF8</f>
        <v>0</v>
      </c>
      <c r="V7" s="826">
        <f>'8 Finanční struktura'!AG8</f>
        <v>0</v>
      </c>
      <c r="W7" s="826">
        <f>'8 Finanční struktura'!AH8</f>
        <v>0</v>
      </c>
      <c r="X7" s="826">
        <f>'8 Finanční struktura'!AI8</f>
        <v>0</v>
      </c>
      <c r="Y7" s="826">
        <f>'8 Finanční struktura'!AJ8</f>
        <v>0</v>
      </c>
      <c r="Z7" s="826">
        <f>'8 Finanční struktura'!AK8</f>
        <v>0</v>
      </c>
      <c r="AA7" s="826">
        <f>'8 Finanční struktura'!AL8</f>
        <v>0</v>
      </c>
      <c r="AB7" s="826">
        <f>'8 Finanční struktura'!AM8</f>
        <v>0</v>
      </c>
      <c r="AC7" s="827">
        <f>'8 Finanční struktura'!AN8</f>
        <v>0</v>
      </c>
    </row>
    <row r="8" spans="1:29" ht="12">
      <c r="A8" s="811" t="s">
        <v>2</v>
      </c>
      <c r="B8" s="816"/>
      <c r="C8" s="830" t="s">
        <v>143</v>
      </c>
      <c r="D8" s="831">
        <f t="shared" si="2"/>
        <v>0</v>
      </c>
      <c r="E8" s="825">
        <f>'8 Finanční struktura'!E10</f>
        <v>0</v>
      </c>
      <c r="F8" s="826">
        <f>'8 Finanční struktura'!F10</f>
        <v>0</v>
      </c>
      <c r="G8" s="826">
        <f>'8 Finanční struktura'!G10</f>
        <v>0</v>
      </c>
      <c r="H8" s="826">
        <f>'8 Finanční struktura'!H10</f>
        <v>0</v>
      </c>
      <c r="I8" s="826">
        <f>'8 Finanční struktura'!S10</f>
        <v>0</v>
      </c>
      <c r="J8" s="826">
        <f>'8 Finanční struktura'!T10</f>
        <v>0</v>
      </c>
      <c r="K8" s="826">
        <f>'8 Finanční struktura'!U10</f>
        <v>0</v>
      </c>
      <c r="L8" s="826">
        <f>'8 Finanční struktura'!V10</f>
        <v>0</v>
      </c>
      <c r="M8" s="826">
        <f>'8 Finanční struktura'!W10</f>
        <v>0</v>
      </c>
      <c r="N8" s="826">
        <f>'8 Finanční struktura'!X10</f>
        <v>0</v>
      </c>
      <c r="O8" s="826">
        <f>'8 Finanční struktura'!Y10</f>
        <v>0</v>
      </c>
      <c r="P8" s="826">
        <f>'8 Finanční struktura'!Z10</f>
        <v>0</v>
      </c>
      <c r="Q8" s="826">
        <f>'8 Finanční struktura'!AA10</f>
        <v>0</v>
      </c>
      <c r="R8" s="826">
        <f>'8 Finanční struktura'!AB10</f>
        <v>0</v>
      </c>
      <c r="S8" s="826">
        <f>'8 Finanční struktura'!AC10</f>
        <v>0</v>
      </c>
      <c r="T8" s="826">
        <f>'8 Finanční struktura'!AD10</f>
        <v>0</v>
      </c>
      <c r="U8" s="826">
        <f>'8 Finanční struktura'!AE10</f>
        <v>0</v>
      </c>
      <c r="V8" s="826">
        <f>'8 Finanční struktura'!AF10</f>
        <v>0</v>
      </c>
      <c r="W8" s="826">
        <f>'8 Finanční struktura'!AG10</f>
        <v>0</v>
      </c>
      <c r="X8" s="826">
        <f>'8 Finanční struktura'!AH10</f>
        <v>0</v>
      </c>
      <c r="Y8" s="826">
        <f>'8 Finanční struktura'!AI10</f>
        <v>0</v>
      </c>
      <c r="Z8" s="826">
        <f>'8 Finanční struktura'!AJ10</f>
        <v>0</v>
      </c>
      <c r="AA8" s="826">
        <f>'8 Finanční struktura'!AK10</f>
        <v>0</v>
      </c>
      <c r="AB8" s="826">
        <f>'8 Finanční struktura'!AL10</f>
        <v>0</v>
      </c>
      <c r="AC8" s="827">
        <f>'8 Finanční struktura'!AM10</f>
        <v>0</v>
      </c>
    </row>
    <row r="9" spans="1:29" ht="12">
      <c r="A9" s="811"/>
      <c r="B9" s="816"/>
      <c r="C9" s="830" t="s">
        <v>147</v>
      </c>
      <c r="D9" s="754">
        <f t="shared" si="2"/>
        <v>0</v>
      </c>
      <c r="E9" s="825">
        <f>'6 Kontrola dotací'!E7</f>
        <v>0</v>
      </c>
      <c r="F9" s="826">
        <f>'6 Kontrola dotací'!F7</f>
        <v>0</v>
      </c>
      <c r="G9" s="826">
        <f>'6 Kontrola dotací'!G7</f>
        <v>0</v>
      </c>
      <c r="H9" s="826">
        <f>'6 Kontrola dotací'!H7</f>
        <v>0</v>
      </c>
      <c r="I9" s="826">
        <f>'6 Kontrola dotací'!I7</f>
        <v>0</v>
      </c>
      <c r="J9" s="826">
        <f>'6 Kontrola dotací'!J7</f>
        <v>0</v>
      </c>
      <c r="K9" s="826">
        <f>'6 Kontrola dotací'!K7</f>
        <v>0</v>
      </c>
      <c r="L9" s="826">
        <f>'6 Kontrola dotací'!L7</f>
        <v>0</v>
      </c>
      <c r="M9" s="826">
        <f>'6 Kontrola dotací'!M7</f>
        <v>0</v>
      </c>
      <c r="N9" s="826">
        <f>'6 Kontrola dotací'!N7</f>
        <v>0</v>
      </c>
      <c r="O9" s="826">
        <f>'6 Kontrola dotací'!O7</f>
        <v>0</v>
      </c>
      <c r="P9" s="826">
        <f>'6 Kontrola dotací'!P7</f>
        <v>0</v>
      </c>
      <c r="Q9" s="826">
        <f>'6 Kontrola dotací'!Q7</f>
        <v>0</v>
      </c>
      <c r="R9" s="826">
        <f>'6 Kontrola dotací'!R7</f>
        <v>0</v>
      </c>
      <c r="S9" s="826">
        <f>'6 Kontrola dotací'!S7</f>
        <v>0</v>
      </c>
      <c r="T9" s="826">
        <f>'6 Kontrola dotací'!T7</f>
        <v>0</v>
      </c>
      <c r="U9" s="826">
        <f>'6 Kontrola dotací'!U7</f>
        <v>0</v>
      </c>
      <c r="V9" s="826">
        <f>'6 Kontrola dotací'!V7</f>
        <v>0</v>
      </c>
      <c r="W9" s="826">
        <f>'6 Kontrola dotací'!W7</f>
        <v>0</v>
      </c>
      <c r="X9" s="826">
        <f>'6 Kontrola dotací'!X7</f>
        <v>0</v>
      </c>
      <c r="Y9" s="826">
        <f>'6 Kontrola dotací'!Y7</f>
        <v>0</v>
      </c>
      <c r="Z9" s="826">
        <f>'6 Kontrola dotací'!Z7</f>
        <v>0</v>
      </c>
      <c r="AA9" s="826">
        <f>'6 Kontrola dotací'!AA7</f>
        <v>0</v>
      </c>
      <c r="AB9" s="826">
        <f>'6 Kontrola dotací'!AB7</f>
        <v>0</v>
      </c>
      <c r="AC9" s="623">
        <f>'6 Kontrola dotací'!AC7</f>
        <v>0</v>
      </c>
    </row>
    <row r="10" spans="1:29" ht="12">
      <c r="A10" s="199"/>
      <c r="B10" s="832"/>
      <c r="C10" s="833" t="s">
        <v>148</v>
      </c>
      <c r="D10" s="834">
        <f t="shared" si="2"/>
        <v>0</v>
      </c>
      <c r="E10" s="835">
        <f>SUM(E4:E9)</f>
        <v>0</v>
      </c>
      <c r="F10" s="836">
        <f aca="true" t="shared" si="3" ref="F10:S10">SUM(F4:F9)</f>
        <v>0</v>
      </c>
      <c r="G10" s="836">
        <f t="shared" si="3"/>
        <v>0</v>
      </c>
      <c r="H10" s="836">
        <f t="shared" si="3"/>
        <v>0</v>
      </c>
      <c r="I10" s="836">
        <f t="shared" si="3"/>
        <v>0</v>
      </c>
      <c r="J10" s="836">
        <f t="shared" si="3"/>
        <v>0</v>
      </c>
      <c r="K10" s="836">
        <f t="shared" si="3"/>
        <v>0</v>
      </c>
      <c r="L10" s="836">
        <f t="shared" si="3"/>
        <v>0</v>
      </c>
      <c r="M10" s="836">
        <f t="shared" si="3"/>
        <v>0</v>
      </c>
      <c r="N10" s="836">
        <f t="shared" si="3"/>
        <v>0</v>
      </c>
      <c r="O10" s="836">
        <f t="shared" si="3"/>
        <v>0</v>
      </c>
      <c r="P10" s="836">
        <f t="shared" si="3"/>
        <v>0</v>
      </c>
      <c r="Q10" s="836">
        <f t="shared" si="3"/>
        <v>0</v>
      </c>
      <c r="R10" s="836">
        <f t="shared" si="3"/>
        <v>0</v>
      </c>
      <c r="S10" s="836">
        <f t="shared" si="3"/>
        <v>0</v>
      </c>
      <c r="T10" s="836">
        <f aca="true" t="shared" si="4" ref="T10:AC10">SUM(T4:T9)</f>
        <v>0</v>
      </c>
      <c r="U10" s="836">
        <f t="shared" si="4"/>
        <v>0</v>
      </c>
      <c r="V10" s="836">
        <f t="shared" si="4"/>
        <v>0</v>
      </c>
      <c r="W10" s="836">
        <f t="shared" si="4"/>
        <v>0</v>
      </c>
      <c r="X10" s="836">
        <f t="shared" si="4"/>
        <v>0</v>
      </c>
      <c r="Y10" s="836">
        <f t="shared" si="4"/>
        <v>0</v>
      </c>
      <c r="Z10" s="836">
        <f t="shared" si="4"/>
        <v>0</v>
      </c>
      <c r="AA10" s="836">
        <f t="shared" si="4"/>
        <v>0</v>
      </c>
      <c r="AB10" s="836">
        <f t="shared" si="4"/>
        <v>0</v>
      </c>
      <c r="AC10" s="837">
        <f t="shared" si="4"/>
        <v>0</v>
      </c>
    </row>
    <row r="11" spans="1:29" ht="12">
      <c r="A11" s="811"/>
      <c r="B11" s="816"/>
      <c r="C11" s="838" t="s">
        <v>99</v>
      </c>
      <c r="D11" s="821">
        <f t="shared" si="2"/>
        <v>0</v>
      </c>
      <c r="E11" s="825">
        <f>'3 Provozní náklady'!E7</f>
        <v>0</v>
      </c>
      <c r="F11" s="826">
        <f>'3 Provozní náklady'!F7</f>
        <v>0</v>
      </c>
      <c r="G11" s="826">
        <f>'3 Provozní náklady'!G7</f>
        <v>0</v>
      </c>
      <c r="H11" s="826">
        <f>'3 Provozní náklady'!H7</f>
        <v>0</v>
      </c>
      <c r="I11" s="826">
        <f>'3 Provozní náklady'!I7</f>
        <v>0</v>
      </c>
      <c r="J11" s="826">
        <f>'3 Provozní náklady'!J7</f>
        <v>0</v>
      </c>
      <c r="K11" s="826">
        <f>'3 Provozní náklady'!K7</f>
        <v>0</v>
      </c>
      <c r="L11" s="826">
        <f>'3 Provozní náklady'!L7</f>
        <v>0</v>
      </c>
      <c r="M11" s="826">
        <f>'3 Provozní náklady'!M7</f>
        <v>0</v>
      </c>
      <c r="N11" s="826">
        <f>'3 Provozní náklady'!N7</f>
        <v>0</v>
      </c>
      <c r="O11" s="826">
        <f>'3 Provozní náklady'!O7</f>
        <v>0</v>
      </c>
      <c r="P11" s="826">
        <f>'3 Provozní náklady'!P7</f>
        <v>0</v>
      </c>
      <c r="Q11" s="826">
        <f>'3 Provozní náklady'!Q7</f>
        <v>0</v>
      </c>
      <c r="R11" s="826">
        <f>'3 Provozní náklady'!R7</f>
        <v>0</v>
      </c>
      <c r="S11" s="826">
        <f>'3 Provozní náklady'!S7</f>
        <v>0</v>
      </c>
      <c r="T11" s="826">
        <f>'3 Provozní náklady'!T7</f>
        <v>0</v>
      </c>
      <c r="U11" s="826">
        <f>'3 Provozní náklady'!U7</f>
        <v>0</v>
      </c>
      <c r="V11" s="826">
        <f>'3 Provozní náklady'!V7</f>
        <v>0</v>
      </c>
      <c r="W11" s="826">
        <f>'3 Provozní náklady'!W7</f>
        <v>0</v>
      </c>
      <c r="X11" s="826">
        <f>'3 Provozní náklady'!X7</f>
        <v>0</v>
      </c>
      <c r="Y11" s="826">
        <f>'3 Provozní náklady'!Y7</f>
        <v>0</v>
      </c>
      <c r="Z11" s="826">
        <f>'3 Provozní náklady'!Z7</f>
        <v>0</v>
      </c>
      <c r="AA11" s="826">
        <f>'3 Provozní náklady'!AA7</f>
        <v>0</v>
      </c>
      <c r="AB11" s="826">
        <f>'3 Provozní náklady'!AB7</f>
        <v>0</v>
      </c>
      <c r="AC11" s="827">
        <f>'3 Provozní náklady'!AC7</f>
        <v>0</v>
      </c>
    </row>
    <row r="12" spans="1:29" ht="12">
      <c r="A12" s="811"/>
      <c r="B12" s="816"/>
      <c r="C12" s="839" t="s">
        <v>57</v>
      </c>
      <c r="D12" s="821">
        <f t="shared" si="2"/>
        <v>0</v>
      </c>
      <c r="E12" s="825">
        <f>'1 Celkové investiční náklady'!G11</f>
        <v>0</v>
      </c>
      <c r="F12" s="826">
        <f>'1 Celkové investiční náklady'!H11</f>
        <v>0</v>
      </c>
      <c r="G12" s="826">
        <f>'1 Celkové investiční náklady'!I11</f>
        <v>0</v>
      </c>
      <c r="H12" s="826">
        <f>'1 Celkové investiční náklady'!J11</f>
        <v>0</v>
      </c>
      <c r="I12" s="826">
        <f>'1 Celkové investiční náklady'!K11</f>
        <v>0</v>
      </c>
      <c r="J12" s="826">
        <f>'1 Celkové investiční náklady'!L11</f>
        <v>0</v>
      </c>
      <c r="K12" s="826">
        <f>'1 Celkové investiční náklady'!M11</f>
        <v>0</v>
      </c>
      <c r="L12" s="826">
        <f>'1 Celkové investiční náklady'!N11</f>
        <v>0</v>
      </c>
      <c r="M12" s="826">
        <f>'1 Celkové investiční náklady'!O11</f>
        <v>0</v>
      </c>
      <c r="N12" s="826">
        <f>'1 Celkové investiční náklady'!P11</f>
        <v>0</v>
      </c>
      <c r="O12" s="826">
        <f>'1 Celkové investiční náklady'!Q11</f>
        <v>0</v>
      </c>
      <c r="P12" s="826">
        <f>'1 Celkové investiční náklady'!R11</f>
        <v>0</v>
      </c>
      <c r="Q12" s="826">
        <f>'1 Celkové investiční náklady'!S11</f>
        <v>0</v>
      </c>
      <c r="R12" s="826">
        <f>'1 Celkové investiční náklady'!T11</f>
        <v>0</v>
      </c>
      <c r="S12" s="826">
        <f>'1 Celkové investiční náklady'!U11</f>
        <v>0</v>
      </c>
      <c r="T12" s="826">
        <f>'1 Celkové investiční náklady'!V11</f>
        <v>0</v>
      </c>
      <c r="U12" s="826">
        <f>'1 Celkové investiční náklady'!W11</f>
        <v>0</v>
      </c>
      <c r="V12" s="826">
        <f>'1 Celkové investiční náklady'!X11</f>
        <v>0</v>
      </c>
      <c r="W12" s="826">
        <f>'1 Celkové investiční náklady'!Y11</f>
        <v>0</v>
      </c>
      <c r="X12" s="826">
        <f>'1 Celkové investiční náklady'!Z11</f>
        <v>0</v>
      </c>
      <c r="Y12" s="826">
        <f>'1 Celkové investiční náklady'!AA11</f>
        <v>0</v>
      </c>
      <c r="Z12" s="826">
        <f>'1 Celkové investiční náklady'!AB11</f>
        <v>0</v>
      </c>
      <c r="AA12" s="826">
        <f>'1 Celkové investiční náklady'!AC11</f>
        <v>0</v>
      </c>
      <c r="AB12" s="826">
        <f>'1 Celkové investiční náklady'!AD11</f>
        <v>0</v>
      </c>
      <c r="AC12" s="827">
        <f>'1 Celkové investiční náklady'!AE11</f>
        <v>0</v>
      </c>
    </row>
    <row r="13" spans="1:29" ht="12">
      <c r="A13" s="811"/>
      <c r="B13" s="816"/>
      <c r="C13" s="840" t="s">
        <v>152</v>
      </c>
      <c r="D13" s="821">
        <f t="shared" si="2"/>
        <v>0</v>
      </c>
      <c r="E13" s="813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6"/>
    </row>
    <row r="14" spans="1:29" ht="10.5" customHeight="1">
      <c r="A14" s="811"/>
      <c r="B14" s="816"/>
      <c r="C14" s="840" t="s">
        <v>153</v>
      </c>
      <c r="D14" s="821">
        <f t="shared" si="2"/>
        <v>0</v>
      </c>
      <c r="E14" s="813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6"/>
    </row>
    <row r="15" spans="1:29" ht="12">
      <c r="A15" s="199"/>
      <c r="B15" s="832"/>
      <c r="C15" s="833" t="s">
        <v>149</v>
      </c>
      <c r="D15" s="834">
        <f t="shared" si="2"/>
        <v>0</v>
      </c>
      <c r="E15" s="835">
        <f>SUM(E11:E14)</f>
        <v>0</v>
      </c>
      <c r="F15" s="836">
        <f aca="true" t="shared" si="5" ref="F15:S15">SUM(F11:F14)</f>
        <v>0</v>
      </c>
      <c r="G15" s="836">
        <f t="shared" si="5"/>
        <v>0</v>
      </c>
      <c r="H15" s="836">
        <f t="shared" si="5"/>
        <v>0</v>
      </c>
      <c r="I15" s="836">
        <f t="shared" si="5"/>
        <v>0</v>
      </c>
      <c r="J15" s="836">
        <f t="shared" si="5"/>
        <v>0</v>
      </c>
      <c r="K15" s="836">
        <f t="shared" si="5"/>
        <v>0</v>
      </c>
      <c r="L15" s="836">
        <f t="shared" si="5"/>
        <v>0</v>
      </c>
      <c r="M15" s="836">
        <f t="shared" si="5"/>
        <v>0</v>
      </c>
      <c r="N15" s="836">
        <f t="shared" si="5"/>
        <v>0</v>
      </c>
      <c r="O15" s="836">
        <f t="shared" si="5"/>
        <v>0</v>
      </c>
      <c r="P15" s="836">
        <f t="shared" si="5"/>
        <v>0</v>
      </c>
      <c r="Q15" s="836">
        <f t="shared" si="5"/>
        <v>0</v>
      </c>
      <c r="R15" s="836">
        <f t="shared" si="5"/>
        <v>0</v>
      </c>
      <c r="S15" s="836">
        <f t="shared" si="5"/>
        <v>0</v>
      </c>
      <c r="T15" s="836">
        <f aca="true" t="shared" si="6" ref="T15:AC15">SUM(T11:T14)</f>
        <v>0</v>
      </c>
      <c r="U15" s="836">
        <f t="shared" si="6"/>
        <v>0</v>
      </c>
      <c r="V15" s="836">
        <f t="shared" si="6"/>
        <v>0</v>
      </c>
      <c r="W15" s="836">
        <f t="shared" si="6"/>
        <v>0</v>
      </c>
      <c r="X15" s="836">
        <f t="shared" si="6"/>
        <v>0</v>
      </c>
      <c r="Y15" s="836">
        <f t="shared" si="6"/>
        <v>0</v>
      </c>
      <c r="Z15" s="836">
        <f t="shared" si="6"/>
        <v>0</v>
      </c>
      <c r="AA15" s="836">
        <f t="shared" si="6"/>
        <v>0</v>
      </c>
      <c r="AB15" s="836">
        <f t="shared" si="6"/>
        <v>0</v>
      </c>
      <c r="AC15" s="837">
        <f t="shared" si="6"/>
        <v>0</v>
      </c>
    </row>
    <row r="16" spans="1:29" ht="12">
      <c r="A16" s="199"/>
      <c r="B16" s="841"/>
      <c r="C16" s="842" t="s">
        <v>150</v>
      </c>
      <c r="D16" s="843">
        <f t="shared" si="2"/>
        <v>0</v>
      </c>
      <c r="E16" s="845">
        <f aca="true" t="shared" si="7" ref="E16:S16">E10-E15</f>
        <v>0</v>
      </c>
      <c r="F16" s="846">
        <f t="shared" si="7"/>
        <v>0</v>
      </c>
      <c r="G16" s="846">
        <f t="shared" si="7"/>
        <v>0</v>
      </c>
      <c r="H16" s="846">
        <f t="shared" si="7"/>
        <v>0</v>
      </c>
      <c r="I16" s="846">
        <f t="shared" si="7"/>
        <v>0</v>
      </c>
      <c r="J16" s="846">
        <f t="shared" si="7"/>
        <v>0</v>
      </c>
      <c r="K16" s="846">
        <f t="shared" si="7"/>
        <v>0</v>
      </c>
      <c r="L16" s="846">
        <f t="shared" si="7"/>
        <v>0</v>
      </c>
      <c r="M16" s="846">
        <f t="shared" si="7"/>
        <v>0</v>
      </c>
      <c r="N16" s="846">
        <f t="shared" si="7"/>
        <v>0</v>
      </c>
      <c r="O16" s="846">
        <f t="shared" si="7"/>
        <v>0</v>
      </c>
      <c r="P16" s="846">
        <f t="shared" si="7"/>
        <v>0</v>
      </c>
      <c r="Q16" s="846">
        <f t="shared" si="7"/>
        <v>0</v>
      </c>
      <c r="R16" s="846">
        <f t="shared" si="7"/>
        <v>0</v>
      </c>
      <c r="S16" s="846">
        <f t="shared" si="7"/>
        <v>0</v>
      </c>
      <c r="T16" s="846">
        <f aca="true" t="shared" si="8" ref="T16:AC16">T10-T15</f>
        <v>0</v>
      </c>
      <c r="U16" s="846">
        <f t="shared" si="8"/>
        <v>0</v>
      </c>
      <c r="V16" s="846">
        <f t="shared" si="8"/>
        <v>0</v>
      </c>
      <c r="W16" s="846">
        <f t="shared" si="8"/>
        <v>0</v>
      </c>
      <c r="X16" s="846">
        <f t="shared" si="8"/>
        <v>0</v>
      </c>
      <c r="Y16" s="846">
        <f t="shared" si="8"/>
        <v>0</v>
      </c>
      <c r="Z16" s="846">
        <f t="shared" si="8"/>
        <v>0</v>
      </c>
      <c r="AA16" s="846">
        <f t="shared" si="8"/>
        <v>0</v>
      </c>
      <c r="AB16" s="846">
        <f t="shared" si="8"/>
        <v>0</v>
      </c>
      <c r="AC16" s="847">
        <f t="shared" si="8"/>
        <v>0</v>
      </c>
    </row>
    <row r="17" spans="1:29" ht="12.75" thickBot="1">
      <c r="A17" s="199"/>
      <c r="B17" s="397"/>
      <c r="C17" s="398" t="s">
        <v>151</v>
      </c>
      <c r="D17" s="844"/>
      <c r="E17" s="848">
        <f>E16</f>
        <v>0</v>
      </c>
      <c r="F17" s="849">
        <f>F16+E17</f>
        <v>0</v>
      </c>
      <c r="G17" s="849">
        <f aca="true" t="shared" si="9" ref="G17:S17">G16+F17</f>
        <v>0</v>
      </c>
      <c r="H17" s="849">
        <f t="shared" si="9"/>
        <v>0</v>
      </c>
      <c r="I17" s="849">
        <f t="shared" si="9"/>
        <v>0</v>
      </c>
      <c r="J17" s="849">
        <f t="shared" si="9"/>
        <v>0</v>
      </c>
      <c r="K17" s="849">
        <f t="shared" si="9"/>
        <v>0</v>
      </c>
      <c r="L17" s="849">
        <f t="shared" si="9"/>
        <v>0</v>
      </c>
      <c r="M17" s="849">
        <f t="shared" si="9"/>
        <v>0</v>
      </c>
      <c r="N17" s="849">
        <f t="shared" si="9"/>
        <v>0</v>
      </c>
      <c r="O17" s="849">
        <f t="shared" si="9"/>
        <v>0</v>
      </c>
      <c r="P17" s="849">
        <f t="shared" si="9"/>
        <v>0</v>
      </c>
      <c r="Q17" s="849">
        <f t="shared" si="9"/>
        <v>0</v>
      </c>
      <c r="R17" s="849">
        <f t="shared" si="9"/>
        <v>0</v>
      </c>
      <c r="S17" s="849">
        <f t="shared" si="9"/>
        <v>0</v>
      </c>
      <c r="T17" s="849">
        <f aca="true" t="shared" si="10" ref="T17:AC17">T16+S17</f>
        <v>0</v>
      </c>
      <c r="U17" s="849">
        <f t="shared" si="10"/>
        <v>0</v>
      </c>
      <c r="V17" s="849">
        <f t="shared" si="10"/>
        <v>0</v>
      </c>
      <c r="W17" s="849">
        <f t="shared" si="10"/>
        <v>0</v>
      </c>
      <c r="X17" s="849">
        <f t="shared" si="10"/>
        <v>0</v>
      </c>
      <c r="Y17" s="849">
        <f t="shared" si="10"/>
        <v>0</v>
      </c>
      <c r="Z17" s="849">
        <f t="shared" si="10"/>
        <v>0</v>
      </c>
      <c r="AA17" s="849">
        <f t="shared" si="10"/>
        <v>0</v>
      </c>
      <c r="AB17" s="849">
        <f t="shared" si="10"/>
        <v>0</v>
      </c>
      <c r="AC17" s="850">
        <f t="shared" si="10"/>
        <v>0</v>
      </c>
    </row>
    <row r="18" spans="1:29" ht="12" thickBot="1">
      <c r="A18" s="199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</row>
    <row r="19" spans="2:29" s="199" customFormat="1" ht="12.75">
      <c r="B19" s="614" t="s">
        <v>24</v>
      </c>
      <c r="C19" s="109" t="s">
        <v>145</v>
      </c>
      <c r="D19" s="110"/>
      <c r="E19" s="980">
        <f>S2+1</f>
        <v>2029</v>
      </c>
      <c r="F19" s="980">
        <f aca="true" t="shared" si="11" ref="F19:S19">E19+1</f>
        <v>2030</v>
      </c>
      <c r="G19" s="980">
        <f t="shared" si="11"/>
        <v>2031</v>
      </c>
      <c r="H19" s="980">
        <f t="shared" si="11"/>
        <v>2032</v>
      </c>
      <c r="I19" s="980">
        <f t="shared" si="11"/>
        <v>2033</v>
      </c>
      <c r="J19" s="980">
        <f t="shared" si="11"/>
        <v>2034</v>
      </c>
      <c r="K19" s="980">
        <f t="shared" si="11"/>
        <v>2035</v>
      </c>
      <c r="L19" s="980">
        <f t="shared" si="11"/>
        <v>2036</v>
      </c>
      <c r="M19" s="980">
        <f t="shared" si="11"/>
        <v>2037</v>
      </c>
      <c r="N19" s="980">
        <f t="shared" si="11"/>
        <v>2038</v>
      </c>
      <c r="O19" s="980">
        <f t="shared" si="11"/>
        <v>2039</v>
      </c>
      <c r="P19" s="980">
        <f t="shared" si="11"/>
        <v>2040</v>
      </c>
      <c r="Q19" s="980">
        <f t="shared" si="11"/>
        <v>2041</v>
      </c>
      <c r="R19" s="980">
        <f t="shared" si="11"/>
        <v>2042</v>
      </c>
      <c r="S19" s="980">
        <f t="shared" si="11"/>
        <v>2043</v>
      </c>
      <c r="T19" s="980">
        <f aca="true" t="shared" si="12" ref="T19:AC19">S19+1</f>
        <v>2044</v>
      </c>
      <c r="U19" s="980">
        <f t="shared" si="12"/>
        <v>2045</v>
      </c>
      <c r="V19" s="980">
        <f t="shared" si="12"/>
        <v>2046</v>
      </c>
      <c r="W19" s="980">
        <f t="shared" si="12"/>
        <v>2047</v>
      </c>
      <c r="X19" s="980">
        <f t="shared" si="12"/>
        <v>2048</v>
      </c>
      <c r="Y19" s="980">
        <f t="shared" si="12"/>
        <v>2049</v>
      </c>
      <c r="Z19" s="980">
        <f t="shared" si="12"/>
        <v>2050</v>
      </c>
      <c r="AA19" s="980">
        <f t="shared" si="12"/>
        <v>2051</v>
      </c>
      <c r="AB19" s="980">
        <f t="shared" si="12"/>
        <v>2052</v>
      </c>
      <c r="AC19" s="992">
        <f t="shared" si="12"/>
        <v>2053</v>
      </c>
    </row>
    <row r="20" spans="1:29" s="199" customFormat="1" ht="13.5" thickBot="1">
      <c r="A20" s="811"/>
      <c r="B20" s="111" t="s">
        <v>26</v>
      </c>
      <c r="C20" s="792" t="s">
        <v>136</v>
      </c>
      <c r="D20" s="136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968"/>
    </row>
    <row r="21" spans="1:29" ht="12">
      <c r="A21" s="811"/>
      <c r="B21" s="816"/>
      <c r="C21" s="616" t="s">
        <v>191</v>
      </c>
      <c r="D21" s="851"/>
      <c r="E21" s="818">
        <f>'4 Tržby'!E14</f>
        <v>0</v>
      </c>
      <c r="F21" s="819">
        <f>'4 Tržby'!F14</f>
        <v>0</v>
      </c>
      <c r="G21" s="819">
        <f>'4 Tržby'!G14</f>
        <v>0</v>
      </c>
      <c r="H21" s="819">
        <f>'4 Tržby'!H14</f>
        <v>0</v>
      </c>
      <c r="I21" s="819">
        <f>'4 Tržby'!I14</f>
        <v>0</v>
      </c>
      <c r="J21" s="819">
        <f>'4 Tržby'!J14</f>
        <v>0</v>
      </c>
      <c r="K21" s="819">
        <f>'4 Tržby'!K14</f>
        <v>0</v>
      </c>
      <c r="L21" s="819">
        <f>'4 Tržby'!L14</f>
        <v>0</v>
      </c>
      <c r="M21" s="819">
        <f>'4 Tržby'!M14</f>
        <v>0</v>
      </c>
      <c r="N21" s="819">
        <f>'4 Tržby'!N14</f>
        <v>0</v>
      </c>
      <c r="O21" s="819">
        <f>'4 Tržby'!O14</f>
        <v>0</v>
      </c>
      <c r="P21" s="819">
        <f>'4 Tržby'!P14</f>
        <v>0</v>
      </c>
      <c r="Q21" s="819">
        <f>'4 Tržby'!Q14</f>
        <v>0</v>
      </c>
      <c r="R21" s="819">
        <f>'4 Tržby'!R14</f>
        <v>0</v>
      </c>
      <c r="S21" s="819">
        <f>'4 Tržby'!S14</f>
        <v>0</v>
      </c>
      <c r="T21" s="819">
        <f>'4 Tržby'!T14</f>
        <v>0</v>
      </c>
      <c r="U21" s="819">
        <f>'4 Tržby'!U14</f>
        <v>0</v>
      </c>
      <c r="V21" s="819">
        <f>'4 Tržby'!V14</f>
        <v>0</v>
      </c>
      <c r="W21" s="819">
        <f>'4 Tržby'!W14</f>
        <v>0</v>
      </c>
      <c r="X21" s="819">
        <f>'4 Tržby'!X14</f>
        <v>0</v>
      </c>
      <c r="Y21" s="819">
        <f>'4 Tržby'!Y14</f>
        <v>0</v>
      </c>
      <c r="Z21" s="819">
        <f>'4 Tržby'!Z14</f>
        <v>0</v>
      </c>
      <c r="AA21" s="819">
        <f>'4 Tržby'!AA14</f>
        <v>0</v>
      </c>
      <c r="AB21" s="819">
        <f>'4 Tržby'!AB14</f>
        <v>0</v>
      </c>
      <c r="AC21" s="820">
        <f>'4 Tržby'!AC14</f>
        <v>0</v>
      </c>
    </row>
    <row r="22" spans="1:29" ht="12">
      <c r="A22" s="811"/>
      <c r="B22" s="816"/>
      <c r="C22" s="337" t="s">
        <v>146</v>
      </c>
      <c r="D22" s="852"/>
      <c r="E22" s="822">
        <f>'8 Finanční struktura'!E22</f>
        <v>0</v>
      </c>
      <c r="F22" s="823">
        <f>'8 Finanční struktura'!F22</f>
        <v>0</v>
      </c>
      <c r="G22" s="823">
        <f>'8 Finanční struktura'!G22</f>
        <v>0</v>
      </c>
      <c r="H22" s="823">
        <f>'8 Finanční struktura'!H22</f>
        <v>0</v>
      </c>
      <c r="I22" s="823">
        <f>'8 Finanční struktura'!I22</f>
        <v>0</v>
      </c>
      <c r="J22" s="823">
        <f>'8 Finanční struktura'!J22</f>
        <v>0</v>
      </c>
      <c r="K22" s="823">
        <f>'8 Finanční struktura'!K22</f>
        <v>0</v>
      </c>
      <c r="L22" s="823">
        <f>'8 Finanční struktura'!L22</f>
        <v>0</v>
      </c>
      <c r="M22" s="823">
        <f>'8 Finanční struktura'!M22</f>
        <v>0</v>
      </c>
      <c r="N22" s="823">
        <f>'8 Finanční struktura'!N22</f>
        <v>0</v>
      </c>
      <c r="O22" s="823">
        <f>'8 Finanční struktura'!O22</f>
        <v>0</v>
      </c>
      <c r="P22" s="823">
        <f>'8 Finanční struktura'!P22</f>
        <v>0</v>
      </c>
      <c r="Q22" s="823">
        <f>'8 Finanční struktura'!Q22</f>
        <v>0</v>
      </c>
      <c r="R22" s="823">
        <f>'8 Finanční struktura'!R22</f>
        <v>0</v>
      </c>
      <c r="S22" s="823">
        <f>'8 Finanční struktura'!S22</f>
        <v>0</v>
      </c>
      <c r="T22" s="823">
        <f>'8 Finanční struktura'!T22</f>
        <v>0</v>
      </c>
      <c r="U22" s="823">
        <f>'8 Finanční struktura'!U22</f>
        <v>0</v>
      </c>
      <c r="V22" s="823">
        <f>'8 Finanční struktura'!V22</f>
        <v>0</v>
      </c>
      <c r="W22" s="823">
        <f>'8 Finanční struktura'!W22</f>
        <v>0</v>
      </c>
      <c r="X22" s="823">
        <f>'8 Finanční struktura'!X22</f>
        <v>0</v>
      </c>
      <c r="Y22" s="823">
        <f>'8 Finanční struktura'!Y22</f>
        <v>0</v>
      </c>
      <c r="Z22" s="823">
        <f>'8 Finanční struktura'!Z22</f>
        <v>0</v>
      </c>
      <c r="AA22" s="823">
        <f>'8 Finanční struktura'!AA22</f>
        <v>0</v>
      </c>
      <c r="AB22" s="823">
        <f>'8 Finanční struktura'!AB22</f>
        <v>0</v>
      </c>
      <c r="AC22" s="824">
        <f>'8 Finanční struktura'!AC22</f>
        <v>0</v>
      </c>
    </row>
    <row r="23" spans="1:29" ht="12">
      <c r="A23" s="811"/>
      <c r="B23" s="816"/>
      <c r="C23" s="120" t="s">
        <v>139</v>
      </c>
      <c r="D23" s="852"/>
      <c r="E23" s="822">
        <f>'8 Finanční struktura'!E21</f>
        <v>0</v>
      </c>
      <c r="F23" s="823">
        <f>'8 Finanční struktura'!F21</f>
        <v>0</v>
      </c>
      <c r="G23" s="823">
        <f>'8 Finanční struktura'!G21</f>
        <v>0</v>
      </c>
      <c r="H23" s="823">
        <f>'8 Finanční struktura'!H21</f>
        <v>0</v>
      </c>
      <c r="I23" s="823">
        <f>'8 Finanční struktura'!S21</f>
        <v>0</v>
      </c>
      <c r="J23" s="823">
        <f>'8 Finanční struktura'!T21</f>
        <v>0</v>
      </c>
      <c r="K23" s="823">
        <f>'8 Finanční struktura'!U21</f>
        <v>0</v>
      </c>
      <c r="L23" s="823">
        <f>'8 Finanční struktura'!V21</f>
        <v>0</v>
      </c>
      <c r="M23" s="823">
        <f>'8 Finanční struktura'!W21</f>
        <v>0</v>
      </c>
      <c r="N23" s="823">
        <f>'8 Finanční struktura'!X21</f>
        <v>0</v>
      </c>
      <c r="O23" s="823">
        <f>'8 Finanční struktura'!Y21</f>
        <v>0</v>
      </c>
      <c r="P23" s="823">
        <f>'8 Finanční struktura'!Z21</f>
        <v>0</v>
      </c>
      <c r="Q23" s="823">
        <f>'8 Finanční struktura'!AA21</f>
        <v>0</v>
      </c>
      <c r="R23" s="823">
        <f>'8 Finanční struktura'!AB21</f>
        <v>0</v>
      </c>
      <c r="S23" s="823">
        <f>'8 Finanční struktura'!AC21</f>
        <v>0</v>
      </c>
      <c r="T23" s="823">
        <f>'8 Finanční struktura'!AD21</f>
        <v>0</v>
      </c>
      <c r="U23" s="823">
        <f>'8 Finanční struktura'!AE21</f>
        <v>0</v>
      </c>
      <c r="V23" s="823">
        <f>'8 Finanční struktura'!AF21</f>
        <v>0</v>
      </c>
      <c r="W23" s="823">
        <f>'8 Finanční struktura'!AG21</f>
        <v>0</v>
      </c>
      <c r="X23" s="823">
        <f>'8 Finanční struktura'!AH21</f>
        <v>0</v>
      </c>
      <c r="Y23" s="823">
        <f>'8 Finanční struktura'!AI21</f>
        <v>0</v>
      </c>
      <c r="Z23" s="823">
        <f>'8 Finanční struktura'!AJ21</f>
        <v>0</v>
      </c>
      <c r="AA23" s="823">
        <f>'8 Finanční struktura'!AK21</f>
        <v>0</v>
      </c>
      <c r="AB23" s="823">
        <f>'8 Finanční struktura'!AL21</f>
        <v>0</v>
      </c>
      <c r="AC23" s="824">
        <f>'8 Finanční struktura'!AM21</f>
        <v>0</v>
      </c>
    </row>
    <row r="24" spans="1:29" ht="12">
      <c r="A24" s="811"/>
      <c r="B24" s="853"/>
      <c r="C24" s="828" t="s">
        <v>142</v>
      </c>
      <c r="D24" s="854"/>
      <c r="E24" s="855">
        <f>'8 Finanční struktura'!E23</f>
        <v>0</v>
      </c>
      <c r="F24" s="856">
        <f>'8 Finanční struktura'!F23</f>
        <v>0</v>
      </c>
      <c r="G24" s="856">
        <f>'8 Finanční struktura'!G23</f>
        <v>0</v>
      </c>
      <c r="H24" s="856">
        <f>'8 Finanční struktura'!H23</f>
        <v>0</v>
      </c>
      <c r="I24" s="856">
        <f>'8 Finanční struktura'!S23</f>
        <v>0</v>
      </c>
      <c r="J24" s="856">
        <f>'8 Finanční struktura'!T23</f>
        <v>0</v>
      </c>
      <c r="K24" s="856">
        <f>'8 Finanční struktura'!U23</f>
        <v>0</v>
      </c>
      <c r="L24" s="856">
        <f>'8 Finanční struktura'!V23</f>
        <v>0</v>
      </c>
      <c r="M24" s="856">
        <f>'8 Finanční struktura'!W23</f>
        <v>0</v>
      </c>
      <c r="N24" s="856">
        <f>'8 Finanční struktura'!X23</f>
        <v>0</v>
      </c>
      <c r="O24" s="856">
        <f>'8 Finanční struktura'!Y23</f>
        <v>0</v>
      </c>
      <c r="P24" s="856">
        <f>'8 Finanční struktura'!Z23</f>
        <v>0</v>
      </c>
      <c r="Q24" s="856">
        <f>'8 Finanční struktura'!AA23</f>
        <v>0</v>
      </c>
      <c r="R24" s="856">
        <f>'8 Finanční struktura'!AB23</f>
        <v>0</v>
      </c>
      <c r="S24" s="856">
        <f>'8 Finanční struktura'!AC23</f>
        <v>0</v>
      </c>
      <c r="T24" s="856">
        <f>'8 Finanční struktura'!AD23</f>
        <v>0</v>
      </c>
      <c r="U24" s="856">
        <f>'8 Finanční struktura'!AE23</f>
        <v>0</v>
      </c>
      <c r="V24" s="856">
        <f>'8 Finanční struktura'!AF23</f>
        <v>0</v>
      </c>
      <c r="W24" s="856">
        <f>'8 Finanční struktura'!AG23</f>
        <v>0</v>
      </c>
      <c r="X24" s="856">
        <f>'8 Finanční struktura'!AH23</f>
        <v>0</v>
      </c>
      <c r="Y24" s="856">
        <f>'8 Finanční struktura'!AI23</f>
        <v>0</v>
      </c>
      <c r="Z24" s="856">
        <f>'8 Finanční struktura'!AJ23</f>
        <v>0</v>
      </c>
      <c r="AA24" s="856">
        <f>'8 Finanční struktura'!AK23</f>
        <v>0</v>
      </c>
      <c r="AB24" s="856">
        <f>'8 Finanční struktura'!AL23</f>
        <v>0</v>
      </c>
      <c r="AC24" s="857">
        <f>'8 Finanční struktura'!AM23</f>
        <v>0</v>
      </c>
    </row>
    <row r="25" spans="1:29" ht="12">
      <c r="A25" s="811" t="s">
        <v>2</v>
      </c>
      <c r="B25" s="853"/>
      <c r="C25" s="830" t="s">
        <v>143</v>
      </c>
      <c r="D25" s="631"/>
      <c r="E25" s="621">
        <f>'8 Finanční struktura'!E25</f>
        <v>0</v>
      </c>
      <c r="F25" s="622">
        <f>'8 Finanční struktura'!F25</f>
        <v>0</v>
      </c>
      <c r="G25" s="622">
        <f>'8 Finanční struktura'!G25</f>
        <v>0</v>
      </c>
      <c r="H25" s="622">
        <f>'8 Finanční struktura'!H25</f>
        <v>0</v>
      </c>
      <c r="I25" s="622">
        <f>'8 Finanční struktura'!S25</f>
        <v>0</v>
      </c>
      <c r="J25" s="622">
        <f>'8 Finanční struktura'!T25</f>
        <v>0</v>
      </c>
      <c r="K25" s="622">
        <f>'8 Finanční struktura'!U25</f>
        <v>0</v>
      </c>
      <c r="L25" s="622">
        <f>'8 Finanční struktura'!V25</f>
        <v>0</v>
      </c>
      <c r="M25" s="622">
        <f>'8 Finanční struktura'!W25</f>
        <v>0</v>
      </c>
      <c r="N25" s="622">
        <f>'8 Finanční struktura'!X25</f>
        <v>0</v>
      </c>
      <c r="O25" s="622">
        <f>'8 Finanční struktura'!Y25</f>
        <v>0</v>
      </c>
      <c r="P25" s="622">
        <f>'8 Finanční struktura'!Z25</f>
        <v>0</v>
      </c>
      <c r="Q25" s="622">
        <f>'8 Finanční struktura'!AA25</f>
        <v>0</v>
      </c>
      <c r="R25" s="622">
        <f>'8 Finanční struktura'!AB25</f>
        <v>0</v>
      </c>
      <c r="S25" s="622">
        <f>'8 Finanční struktura'!AC25</f>
        <v>0</v>
      </c>
      <c r="T25" s="622">
        <f>'8 Finanční struktura'!AD25</f>
        <v>0</v>
      </c>
      <c r="U25" s="622">
        <f>'8 Finanční struktura'!AE25</f>
        <v>0</v>
      </c>
      <c r="V25" s="622">
        <f>'8 Finanční struktura'!AF25</f>
        <v>0</v>
      </c>
      <c r="W25" s="622">
        <f>'8 Finanční struktura'!AG25</f>
        <v>0</v>
      </c>
      <c r="X25" s="622">
        <f>'8 Finanční struktura'!AH25</f>
        <v>0</v>
      </c>
      <c r="Y25" s="622">
        <f>'8 Finanční struktura'!AI25</f>
        <v>0</v>
      </c>
      <c r="Z25" s="622">
        <f>'8 Finanční struktura'!AJ25</f>
        <v>0</v>
      </c>
      <c r="AA25" s="622">
        <f>'8 Finanční struktura'!AK25</f>
        <v>0</v>
      </c>
      <c r="AB25" s="622">
        <f>'8 Finanční struktura'!AL25</f>
        <v>0</v>
      </c>
      <c r="AC25" s="623">
        <f>'8 Finanční struktura'!AM25</f>
        <v>0</v>
      </c>
    </row>
    <row r="26" spans="1:29" ht="12">
      <c r="A26" s="811"/>
      <c r="B26" s="816"/>
      <c r="C26" s="830" t="s">
        <v>147</v>
      </c>
      <c r="D26" s="858"/>
      <c r="E26" s="825">
        <f>'6 Kontrola dotací'!E14</f>
        <v>0</v>
      </c>
      <c r="F26" s="826">
        <f>'6 Kontrola dotací'!F14</f>
        <v>0</v>
      </c>
      <c r="G26" s="826">
        <f>'6 Kontrola dotací'!G14</f>
        <v>0</v>
      </c>
      <c r="H26" s="826">
        <f>'6 Kontrola dotací'!H14</f>
        <v>0</v>
      </c>
      <c r="I26" s="826">
        <f>'6 Kontrola dotací'!I14</f>
        <v>0</v>
      </c>
      <c r="J26" s="826">
        <f>'6 Kontrola dotací'!J14</f>
        <v>0</v>
      </c>
      <c r="K26" s="826">
        <f>'6 Kontrola dotací'!K14</f>
        <v>0</v>
      </c>
      <c r="L26" s="826">
        <f>'6 Kontrola dotací'!L14</f>
        <v>0</v>
      </c>
      <c r="M26" s="826">
        <f>'6 Kontrola dotací'!M14</f>
        <v>0</v>
      </c>
      <c r="N26" s="826">
        <f>'6 Kontrola dotací'!N14</f>
        <v>0</v>
      </c>
      <c r="O26" s="826">
        <f>'6 Kontrola dotací'!O14</f>
        <v>0</v>
      </c>
      <c r="P26" s="826">
        <f>'6 Kontrola dotací'!P14</f>
        <v>0</v>
      </c>
      <c r="Q26" s="826">
        <f>'6 Kontrola dotací'!Q14</f>
        <v>0</v>
      </c>
      <c r="R26" s="826">
        <f>'6 Kontrola dotací'!R14</f>
        <v>0</v>
      </c>
      <c r="S26" s="826">
        <f>'6 Kontrola dotací'!S14</f>
        <v>0</v>
      </c>
      <c r="T26" s="826">
        <f>'6 Kontrola dotací'!T14</f>
        <v>0</v>
      </c>
      <c r="U26" s="826">
        <f>'6 Kontrola dotací'!U14</f>
        <v>0</v>
      </c>
      <c r="V26" s="826">
        <f>'6 Kontrola dotací'!V14</f>
        <v>0</v>
      </c>
      <c r="W26" s="826">
        <f>'6 Kontrola dotací'!W14</f>
        <v>0</v>
      </c>
      <c r="X26" s="826">
        <f>'6 Kontrola dotací'!X14</f>
        <v>0</v>
      </c>
      <c r="Y26" s="826">
        <f>'6 Kontrola dotací'!Y14</f>
        <v>0</v>
      </c>
      <c r="Z26" s="826">
        <f>'6 Kontrola dotací'!Z14</f>
        <v>0</v>
      </c>
      <c r="AA26" s="826">
        <f>'6 Kontrola dotací'!AA14</f>
        <v>0</v>
      </c>
      <c r="AB26" s="826">
        <f>'6 Kontrola dotací'!AB14</f>
        <v>0</v>
      </c>
      <c r="AC26" s="623">
        <f>'6 Kontrola dotací'!AC14</f>
        <v>0</v>
      </c>
    </row>
    <row r="27" spans="1:29" ht="12">
      <c r="A27" s="199"/>
      <c r="B27" s="859"/>
      <c r="C27" s="833" t="s">
        <v>148</v>
      </c>
      <c r="D27" s="860"/>
      <c r="E27" s="835">
        <f>SUM(E21:E26)</f>
        <v>0</v>
      </c>
      <c r="F27" s="836">
        <f aca="true" t="shared" si="13" ref="F27:S27">SUM(F21:F26)</f>
        <v>0</v>
      </c>
      <c r="G27" s="836">
        <f t="shared" si="13"/>
        <v>0</v>
      </c>
      <c r="H27" s="836">
        <f t="shared" si="13"/>
        <v>0</v>
      </c>
      <c r="I27" s="836">
        <f t="shared" si="13"/>
        <v>0</v>
      </c>
      <c r="J27" s="836">
        <f t="shared" si="13"/>
        <v>0</v>
      </c>
      <c r="K27" s="836">
        <f t="shared" si="13"/>
        <v>0</v>
      </c>
      <c r="L27" s="836">
        <f t="shared" si="13"/>
        <v>0</v>
      </c>
      <c r="M27" s="836">
        <f t="shared" si="13"/>
        <v>0</v>
      </c>
      <c r="N27" s="836">
        <f t="shared" si="13"/>
        <v>0</v>
      </c>
      <c r="O27" s="836">
        <f t="shared" si="13"/>
        <v>0</v>
      </c>
      <c r="P27" s="836">
        <f t="shared" si="13"/>
        <v>0</v>
      </c>
      <c r="Q27" s="836">
        <f t="shared" si="13"/>
        <v>0</v>
      </c>
      <c r="R27" s="836">
        <f t="shared" si="13"/>
        <v>0</v>
      </c>
      <c r="S27" s="836">
        <f t="shared" si="13"/>
        <v>0</v>
      </c>
      <c r="T27" s="836">
        <f aca="true" t="shared" si="14" ref="T27:AC27">SUM(T21:T26)</f>
        <v>0</v>
      </c>
      <c r="U27" s="836">
        <f t="shared" si="14"/>
        <v>0</v>
      </c>
      <c r="V27" s="836">
        <f t="shared" si="14"/>
        <v>0</v>
      </c>
      <c r="W27" s="836">
        <f t="shared" si="14"/>
        <v>0</v>
      </c>
      <c r="X27" s="836">
        <f t="shared" si="14"/>
        <v>0</v>
      </c>
      <c r="Y27" s="836">
        <f t="shared" si="14"/>
        <v>0</v>
      </c>
      <c r="Z27" s="836">
        <f t="shared" si="14"/>
        <v>0</v>
      </c>
      <c r="AA27" s="836">
        <f t="shared" si="14"/>
        <v>0</v>
      </c>
      <c r="AB27" s="836">
        <f t="shared" si="14"/>
        <v>0</v>
      </c>
      <c r="AC27" s="837">
        <f t="shared" si="14"/>
        <v>0</v>
      </c>
    </row>
    <row r="28" spans="1:29" ht="12">
      <c r="A28" s="811"/>
      <c r="B28" s="816"/>
      <c r="C28" s="838" t="s">
        <v>99</v>
      </c>
      <c r="D28" s="858"/>
      <c r="E28" s="825">
        <f>'3 Provozní náklady'!E14</f>
        <v>0</v>
      </c>
      <c r="F28" s="826">
        <f>'3 Provozní náklady'!F14</f>
        <v>0</v>
      </c>
      <c r="G28" s="826">
        <f>'3 Provozní náklady'!G14</f>
        <v>0</v>
      </c>
      <c r="H28" s="826">
        <f>'3 Provozní náklady'!H14</f>
        <v>0</v>
      </c>
      <c r="I28" s="826">
        <f>'3 Provozní náklady'!I14</f>
        <v>0</v>
      </c>
      <c r="J28" s="826">
        <f>'3 Provozní náklady'!J14</f>
        <v>0</v>
      </c>
      <c r="K28" s="826">
        <f>'3 Provozní náklady'!K14</f>
        <v>0</v>
      </c>
      <c r="L28" s="826">
        <f>'3 Provozní náklady'!L14</f>
        <v>0</v>
      </c>
      <c r="M28" s="826">
        <f>'3 Provozní náklady'!M14</f>
        <v>0</v>
      </c>
      <c r="N28" s="826">
        <f>'3 Provozní náklady'!N14</f>
        <v>0</v>
      </c>
      <c r="O28" s="826">
        <f>'3 Provozní náklady'!O14</f>
        <v>0</v>
      </c>
      <c r="P28" s="826">
        <f>'3 Provozní náklady'!P14</f>
        <v>0</v>
      </c>
      <c r="Q28" s="826">
        <f>'3 Provozní náklady'!Q14</f>
        <v>0</v>
      </c>
      <c r="R28" s="826">
        <f>'3 Provozní náklady'!R14</f>
        <v>0</v>
      </c>
      <c r="S28" s="826">
        <f>'3 Provozní náklady'!S14</f>
        <v>0</v>
      </c>
      <c r="T28" s="826">
        <f>'3 Provozní náklady'!T14</f>
        <v>0</v>
      </c>
      <c r="U28" s="826">
        <f>'3 Provozní náklady'!U14</f>
        <v>0</v>
      </c>
      <c r="V28" s="826">
        <f>'3 Provozní náklady'!V14</f>
        <v>0</v>
      </c>
      <c r="W28" s="826">
        <f>'3 Provozní náklady'!W14</f>
        <v>0</v>
      </c>
      <c r="X28" s="826">
        <f>'3 Provozní náklady'!X14</f>
        <v>0</v>
      </c>
      <c r="Y28" s="826">
        <f>'3 Provozní náklady'!Y14</f>
        <v>0</v>
      </c>
      <c r="Z28" s="826">
        <f>'3 Provozní náklady'!Z14</f>
        <v>0</v>
      </c>
      <c r="AA28" s="826">
        <f>'3 Provozní náklady'!AA14</f>
        <v>0</v>
      </c>
      <c r="AB28" s="826">
        <f>'3 Provozní náklady'!AB14</f>
        <v>0</v>
      </c>
      <c r="AC28" s="827">
        <f>'3 Provozní náklady'!AC14</f>
        <v>0</v>
      </c>
    </row>
    <row r="29" spans="1:29" ht="12">
      <c r="A29" s="811"/>
      <c r="B29" s="853"/>
      <c r="C29" s="839" t="s">
        <v>57</v>
      </c>
      <c r="D29" s="631"/>
      <c r="E29" s="621">
        <f>'1 Celkové investiční náklady'!G26</f>
        <v>0</v>
      </c>
      <c r="F29" s="622">
        <f>'1 Celkové investiční náklady'!H26</f>
        <v>0</v>
      </c>
      <c r="G29" s="622">
        <f>'1 Celkové investiční náklady'!I26</f>
        <v>0</v>
      </c>
      <c r="H29" s="622">
        <f>'1 Celkové investiční náklady'!J26</f>
        <v>0</v>
      </c>
      <c r="I29" s="622">
        <f>'1 Celkové investiční náklady'!K26</f>
        <v>0</v>
      </c>
      <c r="J29" s="622">
        <f>'1 Celkové investiční náklady'!L26</f>
        <v>0</v>
      </c>
      <c r="K29" s="622">
        <f>'1 Celkové investiční náklady'!M26</f>
        <v>0</v>
      </c>
      <c r="L29" s="622">
        <f>'1 Celkové investiční náklady'!N26</f>
        <v>0</v>
      </c>
      <c r="M29" s="622">
        <f>'1 Celkové investiční náklady'!O26</f>
        <v>0</v>
      </c>
      <c r="N29" s="622">
        <f>'1 Celkové investiční náklady'!P26</f>
        <v>0</v>
      </c>
      <c r="O29" s="622">
        <f>'1 Celkové investiční náklady'!Q26</f>
        <v>0</v>
      </c>
      <c r="P29" s="622">
        <f>'1 Celkové investiční náklady'!R26</f>
        <v>0</v>
      </c>
      <c r="Q29" s="622">
        <f>'1 Celkové investiční náklady'!S26</f>
        <v>0</v>
      </c>
      <c r="R29" s="622">
        <f>'1 Celkové investiční náklady'!T26</f>
        <v>0</v>
      </c>
      <c r="S29" s="622">
        <f>'1 Celkové investiční náklady'!U26</f>
        <v>0</v>
      </c>
      <c r="T29" s="622">
        <f>'1 Celkové investiční náklady'!V26</f>
        <v>0</v>
      </c>
      <c r="U29" s="622">
        <f>'1 Celkové investiční náklady'!W26</f>
        <v>0</v>
      </c>
      <c r="V29" s="622">
        <f>'1 Celkové investiční náklady'!X26</f>
        <v>0</v>
      </c>
      <c r="W29" s="622">
        <f>'1 Celkové investiční náklady'!Y26</f>
        <v>0</v>
      </c>
      <c r="X29" s="622">
        <f>'1 Celkové investiční náklady'!Z26</f>
        <v>0</v>
      </c>
      <c r="Y29" s="622">
        <f>'1 Celkové investiční náklady'!AA26</f>
        <v>0</v>
      </c>
      <c r="Z29" s="622">
        <f>'1 Celkové investiční náklady'!AB26</f>
        <v>0</v>
      </c>
      <c r="AA29" s="622">
        <f>'1 Celkové investiční náklady'!AC26</f>
        <v>0</v>
      </c>
      <c r="AB29" s="622">
        <f>'1 Celkové investiční náklady'!AD26</f>
        <v>0</v>
      </c>
      <c r="AC29" s="623">
        <f>'1 Celkové investiční náklady'!AE26</f>
        <v>0</v>
      </c>
    </row>
    <row r="30" spans="1:29" ht="12">
      <c r="A30" s="811"/>
      <c r="B30" s="816"/>
      <c r="C30" s="840" t="s">
        <v>152</v>
      </c>
      <c r="D30" s="858"/>
      <c r="E30" s="733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6"/>
    </row>
    <row r="31" spans="1:29" ht="11.25" customHeight="1">
      <c r="A31" s="811"/>
      <c r="B31" s="816"/>
      <c r="C31" s="840" t="s">
        <v>153</v>
      </c>
      <c r="D31" s="858"/>
      <c r="E31" s="733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6"/>
    </row>
    <row r="32" spans="1:29" ht="12">
      <c r="A32" s="199"/>
      <c r="B32" s="832"/>
      <c r="C32" s="833" t="s">
        <v>149</v>
      </c>
      <c r="D32" s="860"/>
      <c r="E32" s="835">
        <f>SUM(E28:E31)</f>
        <v>0</v>
      </c>
      <c r="F32" s="836">
        <f aca="true" t="shared" si="15" ref="F32:S32">SUM(F28:F31)</f>
        <v>0</v>
      </c>
      <c r="G32" s="836">
        <f t="shared" si="15"/>
        <v>0</v>
      </c>
      <c r="H32" s="836">
        <f t="shared" si="15"/>
        <v>0</v>
      </c>
      <c r="I32" s="836">
        <f t="shared" si="15"/>
        <v>0</v>
      </c>
      <c r="J32" s="836">
        <f t="shared" si="15"/>
        <v>0</v>
      </c>
      <c r="K32" s="836">
        <f t="shared" si="15"/>
        <v>0</v>
      </c>
      <c r="L32" s="836">
        <f t="shared" si="15"/>
        <v>0</v>
      </c>
      <c r="M32" s="836">
        <f t="shared" si="15"/>
        <v>0</v>
      </c>
      <c r="N32" s="836">
        <f t="shared" si="15"/>
        <v>0</v>
      </c>
      <c r="O32" s="836">
        <f t="shared" si="15"/>
        <v>0</v>
      </c>
      <c r="P32" s="836">
        <f t="shared" si="15"/>
        <v>0</v>
      </c>
      <c r="Q32" s="836">
        <f t="shared" si="15"/>
        <v>0</v>
      </c>
      <c r="R32" s="836">
        <f t="shared" si="15"/>
        <v>0</v>
      </c>
      <c r="S32" s="836">
        <f t="shared" si="15"/>
        <v>0</v>
      </c>
      <c r="T32" s="836">
        <f aca="true" t="shared" si="16" ref="T32:AC32">SUM(T28:T31)</f>
        <v>0</v>
      </c>
      <c r="U32" s="836">
        <f t="shared" si="16"/>
        <v>0</v>
      </c>
      <c r="V32" s="836">
        <f t="shared" si="16"/>
        <v>0</v>
      </c>
      <c r="W32" s="836">
        <f t="shared" si="16"/>
        <v>0</v>
      </c>
      <c r="X32" s="836">
        <f t="shared" si="16"/>
        <v>0</v>
      </c>
      <c r="Y32" s="836">
        <f t="shared" si="16"/>
        <v>0</v>
      </c>
      <c r="Z32" s="836">
        <f t="shared" si="16"/>
        <v>0</v>
      </c>
      <c r="AA32" s="836">
        <f t="shared" si="16"/>
        <v>0</v>
      </c>
      <c r="AB32" s="836">
        <f t="shared" si="16"/>
        <v>0</v>
      </c>
      <c r="AC32" s="837">
        <f t="shared" si="16"/>
        <v>0</v>
      </c>
    </row>
    <row r="33" spans="1:29" ht="12">
      <c r="A33" s="199"/>
      <c r="B33" s="841"/>
      <c r="C33" s="842" t="s">
        <v>150</v>
      </c>
      <c r="D33" s="861"/>
      <c r="E33" s="845">
        <f aca="true" t="shared" si="17" ref="E33:S33">E27-E32</f>
        <v>0</v>
      </c>
      <c r="F33" s="846">
        <f t="shared" si="17"/>
        <v>0</v>
      </c>
      <c r="G33" s="846">
        <f t="shared" si="17"/>
        <v>0</v>
      </c>
      <c r="H33" s="846">
        <f t="shared" si="17"/>
        <v>0</v>
      </c>
      <c r="I33" s="846">
        <f t="shared" si="17"/>
        <v>0</v>
      </c>
      <c r="J33" s="846">
        <f t="shared" si="17"/>
        <v>0</v>
      </c>
      <c r="K33" s="846">
        <f t="shared" si="17"/>
        <v>0</v>
      </c>
      <c r="L33" s="846">
        <f t="shared" si="17"/>
        <v>0</v>
      </c>
      <c r="M33" s="846">
        <f t="shared" si="17"/>
        <v>0</v>
      </c>
      <c r="N33" s="846">
        <f t="shared" si="17"/>
        <v>0</v>
      </c>
      <c r="O33" s="846">
        <f t="shared" si="17"/>
        <v>0</v>
      </c>
      <c r="P33" s="846">
        <f t="shared" si="17"/>
        <v>0</v>
      </c>
      <c r="Q33" s="846">
        <f t="shared" si="17"/>
        <v>0</v>
      </c>
      <c r="R33" s="846">
        <f t="shared" si="17"/>
        <v>0</v>
      </c>
      <c r="S33" s="846">
        <f t="shared" si="17"/>
        <v>0</v>
      </c>
      <c r="T33" s="846">
        <f aca="true" t="shared" si="18" ref="T33:AC33">T27-T32</f>
        <v>0</v>
      </c>
      <c r="U33" s="846">
        <f t="shared" si="18"/>
        <v>0</v>
      </c>
      <c r="V33" s="846">
        <f t="shared" si="18"/>
        <v>0</v>
      </c>
      <c r="W33" s="846">
        <f t="shared" si="18"/>
        <v>0</v>
      </c>
      <c r="X33" s="846">
        <f t="shared" si="18"/>
        <v>0</v>
      </c>
      <c r="Y33" s="846">
        <f t="shared" si="18"/>
        <v>0</v>
      </c>
      <c r="Z33" s="846">
        <f t="shared" si="18"/>
        <v>0</v>
      </c>
      <c r="AA33" s="846">
        <f t="shared" si="18"/>
        <v>0</v>
      </c>
      <c r="AB33" s="846">
        <f t="shared" si="18"/>
        <v>0</v>
      </c>
      <c r="AC33" s="847">
        <f t="shared" si="18"/>
        <v>0</v>
      </c>
    </row>
    <row r="34" spans="1:29" ht="12.75" thickBot="1">
      <c r="A34" s="199"/>
      <c r="B34" s="397"/>
      <c r="C34" s="398" t="s">
        <v>151</v>
      </c>
      <c r="D34" s="862"/>
      <c r="E34" s="848">
        <f>E33+AC17</f>
        <v>0</v>
      </c>
      <c r="F34" s="849">
        <f>F33+E34</f>
        <v>0</v>
      </c>
      <c r="G34" s="849">
        <f aca="true" t="shared" si="19" ref="G34:S34">G33+F34</f>
        <v>0</v>
      </c>
      <c r="H34" s="849">
        <f t="shared" si="19"/>
        <v>0</v>
      </c>
      <c r="I34" s="849">
        <f t="shared" si="19"/>
        <v>0</v>
      </c>
      <c r="J34" s="849">
        <f t="shared" si="19"/>
        <v>0</v>
      </c>
      <c r="K34" s="849">
        <f t="shared" si="19"/>
        <v>0</v>
      </c>
      <c r="L34" s="849">
        <f t="shared" si="19"/>
        <v>0</v>
      </c>
      <c r="M34" s="849">
        <f t="shared" si="19"/>
        <v>0</v>
      </c>
      <c r="N34" s="849">
        <f t="shared" si="19"/>
        <v>0</v>
      </c>
      <c r="O34" s="849">
        <f t="shared" si="19"/>
        <v>0</v>
      </c>
      <c r="P34" s="849">
        <f t="shared" si="19"/>
        <v>0</v>
      </c>
      <c r="Q34" s="849">
        <f t="shared" si="19"/>
        <v>0</v>
      </c>
      <c r="R34" s="849">
        <f t="shared" si="19"/>
        <v>0</v>
      </c>
      <c r="S34" s="849">
        <f t="shared" si="19"/>
        <v>0</v>
      </c>
      <c r="T34" s="849">
        <f aca="true" t="shared" si="20" ref="T34:AC34">T33+S34</f>
        <v>0</v>
      </c>
      <c r="U34" s="849">
        <f t="shared" si="20"/>
        <v>0</v>
      </c>
      <c r="V34" s="849">
        <f t="shared" si="20"/>
        <v>0</v>
      </c>
      <c r="W34" s="849">
        <f t="shared" si="20"/>
        <v>0</v>
      </c>
      <c r="X34" s="849">
        <f t="shared" si="20"/>
        <v>0</v>
      </c>
      <c r="Y34" s="849">
        <f t="shared" si="20"/>
        <v>0</v>
      </c>
      <c r="Z34" s="849">
        <f t="shared" si="20"/>
        <v>0</v>
      </c>
      <c r="AA34" s="849">
        <f t="shared" si="20"/>
        <v>0</v>
      </c>
      <c r="AB34" s="849">
        <f t="shared" si="20"/>
        <v>0</v>
      </c>
      <c r="AC34" s="850">
        <f t="shared" si="20"/>
        <v>0</v>
      </c>
    </row>
    <row r="35" spans="1:2" ht="11.25">
      <c r="A35" s="199"/>
      <c r="B35" s="814"/>
    </row>
    <row r="36" ht="11.25">
      <c r="A36" s="815"/>
    </row>
    <row r="37" ht="11.25">
      <c r="A37" s="815"/>
    </row>
    <row r="38" ht="11.25">
      <c r="A38" s="815"/>
    </row>
    <row r="39" ht="11.25">
      <c r="A39" s="199"/>
    </row>
    <row r="40" ht="11.25">
      <c r="A40" s="199"/>
    </row>
    <row r="41" spans="1:9" ht="11.25">
      <c r="A41" s="199"/>
      <c r="I41" s="551"/>
    </row>
    <row r="42" ht="11.25">
      <c r="A42" s="199"/>
    </row>
    <row r="43" ht="11.25">
      <c r="A43" s="199"/>
    </row>
    <row r="44" ht="11.25">
      <c r="A44" s="199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0">
    <mergeCell ref="S19:S20"/>
    <mergeCell ref="N19:N20"/>
    <mergeCell ref="O19:O20"/>
    <mergeCell ref="P19:P20"/>
    <mergeCell ref="Q19:Q20"/>
    <mergeCell ref="R19:R20"/>
    <mergeCell ref="I19:I20"/>
    <mergeCell ref="Q2:Q3"/>
    <mergeCell ref="E19:E20"/>
    <mergeCell ref="F19:F20"/>
    <mergeCell ref="G19:G20"/>
    <mergeCell ref="H19:H20"/>
    <mergeCell ref="J19:J20"/>
    <mergeCell ref="L19:L20"/>
    <mergeCell ref="M19:M20"/>
    <mergeCell ref="K19:K20"/>
    <mergeCell ref="M2:M3"/>
    <mergeCell ref="R2:R3"/>
    <mergeCell ref="O2:O3"/>
    <mergeCell ref="P2:P3"/>
    <mergeCell ref="I2:I3"/>
    <mergeCell ref="N2:N3"/>
    <mergeCell ref="T2:T3"/>
    <mergeCell ref="U2:U3"/>
    <mergeCell ref="E2:E3"/>
    <mergeCell ref="F2:F3"/>
    <mergeCell ref="G2:G3"/>
    <mergeCell ref="H2:H3"/>
    <mergeCell ref="S2:S3"/>
    <mergeCell ref="J2:J3"/>
    <mergeCell ref="K2:K3"/>
    <mergeCell ref="L2:L3"/>
    <mergeCell ref="T19:T20"/>
    <mergeCell ref="U19:U20"/>
    <mergeCell ref="V19:V20"/>
    <mergeCell ref="W19:W20"/>
    <mergeCell ref="Y19:Y20"/>
    <mergeCell ref="V2:V3"/>
    <mergeCell ref="W2:W3"/>
    <mergeCell ref="Z2:Z3"/>
    <mergeCell ref="X2:X3"/>
    <mergeCell ref="Y2:Y3"/>
    <mergeCell ref="X19:X20"/>
    <mergeCell ref="AB2:AB3"/>
    <mergeCell ref="AC2:AC3"/>
    <mergeCell ref="Z19:Z20"/>
    <mergeCell ref="AA19:AA20"/>
    <mergeCell ref="AB19:AB20"/>
    <mergeCell ref="AC19:AC20"/>
    <mergeCell ref="AA2:AA3"/>
  </mergeCells>
  <conditionalFormatting sqref="F17:R17 F34:R34 AC34 AC17">
    <cfRule type="cellIs" priority="2" dxfId="0" operator="lessThan" stopIfTrue="1">
      <formula>0</formula>
    </cfRule>
  </conditionalFormatting>
  <conditionalFormatting sqref="E34">
    <cfRule type="cellIs" priority="3" dxfId="3" operator="lessThan" stopIfTrue="1">
      <formula>0</formula>
    </cfRule>
  </conditionalFormatting>
  <conditionalFormatting sqref="S17:AB17 S34:AB34">
    <cfRule type="cellIs" priority="1" dxfId="0" operator="lessThan" stopIfTrue="1">
      <formula>0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44" r:id="rId2"/>
  <headerFooter alignWithMargins="0">
    <oddFooter>&amp;L&amp;A&amp;C15.9.2010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AH3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539" customWidth="1"/>
    <col min="2" max="2" width="5.7109375" style="539" customWidth="1"/>
    <col min="3" max="3" width="37.8515625" style="539" customWidth="1"/>
    <col min="4" max="4" width="12.7109375" style="539" customWidth="1"/>
    <col min="5" max="29" width="10.7109375" style="539" customWidth="1"/>
    <col min="30" max="33" width="9.140625" style="539" customWidth="1"/>
    <col min="34" max="34" width="11.7109375" style="539" bestFit="1" customWidth="1"/>
    <col min="35" max="16384" width="9.140625" style="539" customWidth="1"/>
  </cols>
  <sheetData>
    <row r="1" ht="12" thickBot="1"/>
    <row r="2" spans="2:29" ht="12.75">
      <c r="B2" s="863" t="s">
        <v>23</v>
      </c>
      <c r="C2" s="864" t="s">
        <v>115</v>
      </c>
      <c r="D2" s="865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1:34" ht="13.5" thickBot="1">
      <c r="A3" s="897"/>
      <c r="B3" s="866" t="s">
        <v>25</v>
      </c>
      <c r="C3" s="867" t="s">
        <v>154</v>
      </c>
      <c r="D3" s="868" t="s">
        <v>83</v>
      </c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993"/>
      <c r="AD3" s="541"/>
      <c r="AE3" s="541"/>
      <c r="AF3" s="541"/>
      <c r="AG3" s="541"/>
      <c r="AH3" s="541"/>
    </row>
    <row r="4" spans="1:29" ht="12">
      <c r="A4" s="897"/>
      <c r="B4" s="569"/>
      <c r="C4" s="559" t="s">
        <v>59</v>
      </c>
      <c r="D4" s="560" t="e">
        <f>SUM(E4:AC4,E16:AC16)</f>
        <v>#DIV/0!</v>
      </c>
      <c r="E4" s="561">
        <f>'2 Zůstatková hodnota'!E16</f>
        <v>0</v>
      </c>
      <c r="F4" s="561">
        <f>'2 Zůstatková hodnota'!F16</f>
        <v>0</v>
      </c>
      <c r="G4" s="561">
        <f>'2 Zůstatková hodnota'!G16</f>
        <v>0</v>
      </c>
      <c r="H4" s="561">
        <f>'2 Zůstatková hodnota'!H16</f>
        <v>0</v>
      </c>
      <c r="I4" s="561">
        <f>'2 Zůstatková hodnota'!I16</f>
        <v>0</v>
      </c>
      <c r="J4" s="561">
        <f>'2 Zůstatková hodnota'!J16</f>
        <v>0</v>
      </c>
      <c r="K4" s="561">
        <f>'2 Zůstatková hodnota'!K16</f>
        <v>0</v>
      </c>
      <c r="L4" s="561">
        <f>'2 Zůstatková hodnota'!L16</f>
        <v>0</v>
      </c>
      <c r="M4" s="561">
        <f>'2 Zůstatková hodnota'!M16</f>
        <v>0</v>
      </c>
      <c r="N4" s="561">
        <f>'2 Zůstatková hodnota'!N16</f>
        <v>0</v>
      </c>
      <c r="O4" s="561">
        <f>'2 Zůstatková hodnota'!O16</f>
        <v>0</v>
      </c>
      <c r="P4" s="561">
        <f>'2 Zůstatková hodnota'!P16</f>
        <v>0</v>
      </c>
      <c r="Q4" s="561">
        <f>'2 Zůstatková hodnota'!Q16</f>
        <v>0</v>
      </c>
      <c r="R4" s="561">
        <f>'2 Zůstatková hodnota'!R16</f>
        <v>0</v>
      </c>
      <c r="S4" s="561">
        <f>'2 Zůstatková hodnota'!S16</f>
        <v>0</v>
      </c>
      <c r="T4" s="561">
        <f>'2 Zůstatková hodnota'!T16</f>
        <v>0</v>
      </c>
      <c r="U4" s="561">
        <f>'2 Zůstatková hodnota'!U16</f>
        <v>0</v>
      </c>
      <c r="V4" s="561">
        <f>'2 Zůstatková hodnota'!V16</f>
        <v>0</v>
      </c>
      <c r="W4" s="561">
        <f>'2 Zůstatková hodnota'!W16</f>
        <v>0</v>
      </c>
      <c r="X4" s="561">
        <f>'2 Zůstatková hodnota'!X16</f>
        <v>0</v>
      </c>
      <c r="Y4" s="561">
        <f>'2 Zůstatková hodnota'!Y16</f>
        <v>0</v>
      </c>
      <c r="Z4" s="561">
        <f>'2 Zůstatková hodnota'!Z16</f>
        <v>0</v>
      </c>
      <c r="AA4" s="561">
        <f>'2 Zůstatková hodnota'!AA16</f>
        <v>0</v>
      </c>
      <c r="AB4" s="561">
        <f>'2 Zůstatková hodnota'!AB16</f>
        <v>0</v>
      </c>
      <c r="AC4" s="572">
        <f>'2 Zůstatková hodnota'!AC16</f>
        <v>0</v>
      </c>
    </row>
    <row r="5" spans="1:29" ht="12">
      <c r="A5" s="897"/>
      <c r="B5" s="569"/>
      <c r="C5" s="569" t="s">
        <v>192</v>
      </c>
      <c r="D5" s="570">
        <f>SUM(E5:AC5,E17:AC17)</f>
        <v>0</v>
      </c>
      <c r="E5" s="571">
        <f>'5 Finanční analýza (FRR_C)'!E4</f>
        <v>0</v>
      </c>
      <c r="F5" s="571">
        <f>'5 Finanční analýza (FRR_C)'!F4</f>
        <v>0</v>
      </c>
      <c r="G5" s="571">
        <f>'5 Finanční analýza (FRR_C)'!G4</f>
        <v>0</v>
      </c>
      <c r="H5" s="571">
        <f>'5 Finanční analýza (FRR_C)'!H4</f>
        <v>0</v>
      </c>
      <c r="I5" s="571">
        <f>'5 Finanční analýza (FRR_C)'!I4</f>
        <v>0</v>
      </c>
      <c r="J5" s="571">
        <f>'5 Finanční analýza (FRR_C)'!J4</f>
        <v>0</v>
      </c>
      <c r="K5" s="571">
        <f>'5 Finanční analýza (FRR_C)'!K4</f>
        <v>0</v>
      </c>
      <c r="L5" s="571">
        <f>'5 Finanční analýza (FRR_C)'!L4</f>
        <v>0</v>
      </c>
      <c r="M5" s="571">
        <f>'5 Finanční analýza (FRR_C)'!M4</f>
        <v>0</v>
      </c>
      <c r="N5" s="571">
        <f>'5 Finanční analýza (FRR_C)'!N4</f>
        <v>0</v>
      </c>
      <c r="O5" s="571">
        <f>'5 Finanční analýza (FRR_C)'!O4</f>
        <v>0</v>
      </c>
      <c r="P5" s="571">
        <f>'5 Finanční analýza (FRR_C)'!P4</f>
        <v>0</v>
      </c>
      <c r="Q5" s="571">
        <f>'5 Finanční analýza (FRR_C)'!Q4</f>
        <v>0</v>
      </c>
      <c r="R5" s="571">
        <f>'5 Finanční analýza (FRR_C)'!R4</f>
        <v>0</v>
      </c>
      <c r="S5" s="571">
        <f>'5 Finanční analýza (FRR_C)'!S4</f>
        <v>0</v>
      </c>
      <c r="T5" s="571">
        <f>'5 Finanční analýza (FRR_C)'!T4</f>
        <v>0</v>
      </c>
      <c r="U5" s="571">
        <f>'5 Finanční analýza (FRR_C)'!U4</f>
        <v>0</v>
      </c>
      <c r="V5" s="571">
        <f>'5 Finanční analýza (FRR_C)'!V4</f>
        <v>0</v>
      </c>
      <c r="W5" s="571">
        <f>'5 Finanční analýza (FRR_C)'!W4</f>
        <v>0</v>
      </c>
      <c r="X5" s="571">
        <f>'5 Finanční analýza (FRR_C)'!X4</f>
        <v>0</v>
      </c>
      <c r="Y5" s="571">
        <f>'5 Finanční analýza (FRR_C)'!Y4</f>
        <v>0</v>
      </c>
      <c r="Z5" s="571">
        <f>'5 Finanční analýza (FRR_C)'!Z4</f>
        <v>0</v>
      </c>
      <c r="AA5" s="571">
        <f>'5 Finanční analýza (FRR_C)'!AA4</f>
        <v>0</v>
      </c>
      <c r="AB5" s="571">
        <f>'5 Finanční analýza (FRR_C)'!AB4</f>
        <v>0</v>
      </c>
      <c r="AC5" s="572">
        <f>'5 Finanční analýza (FRR_C)'!AC4</f>
        <v>0</v>
      </c>
    </row>
    <row r="6" spans="2:29" ht="12">
      <c r="B6" s="869"/>
      <c r="C6" s="869" t="s">
        <v>148</v>
      </c>
      <c r="D6" s="870" t="e">
        <f>SUM(D4:D5)</f>
        <v>#DIV/0!</v>
      </c>
      <c r="E6" s="871">
        <f>SUM(E4:E5)</f>
        <v>0</v>
      </c>
      <c r="F6" s="872">
        <f aca="true" t="shared" si="2" ref="F6:S6">SUM(F4:F5)</f>
        <v>0</v>
      </c>
      <c r="G6" s="872">
        <f t="shared" si="2"/>
        <v>0</v>
      </c>
      <c r="H6" s="872">
        <f t="shared" si="2"/>
        <v>0</v>
      </c>
      <c r="I6" s="872">
        <f t="shared" si="2"/>
        <v>0</v>
      </c>
      <c r="J6" s="872">
        <f t="shared" si="2"/>
        <v>0</v>
      </c>
      <c r="K6" s="872">
        <f t="shared" si="2"/>
        <v>0</v>
      </c>
      <c r="L6" s="872">
        <f t="shared" si="2"/>
        <v>0</v>
      </c>
      <c r="M6" s="872">
        <f t="shared" si="2"/>
        <v>0</v>
      </c>
      <c r="N6" s="872">
        <f t="shared" si="2"/>
        <v>0</v>
      </c>
      <c r="O6" s="872">
        <f t="shared" si="2"/>
        <v>0</v>
      </c>
      <c r="P6" s="872">
        <f t="shared" si="2"/>
        <v>0</v>
      </c>
      <c r="Q6" s="872">
        <f t="shared" si="2"/>
        <v>0</v>
      </c>
      <c r="R6" s="872">
        <f t="shared" si="2"/>
        <v>0</v>
      </c>
      <c r="S6" s="872">
        <f t="shared" si="2"/>
        <v>0</v>
      </c>
      <c r="T6" s="872">
        <f aca="true" t="shared" si="3" ref="T6:AC6">SUM(T4:T5)</f>
        <v>0</v>
      </c>
      <c r="U6" s="872">
        <f t="shared" si="3"/>
        <v>0</v>
      </c>
      <c r="V6" s="872">
        <f t="shared" si="3"/>
        <v>0</v>
      </c>
      <c r="W6" s="872">
        <f t="shared" si="3"/>
        <v>0</v>
      </c>
      <c r="X6" s="872">
        <f t="shared" si="3"/>
        <v>0</v>
      </c>
      <c r="Y6" s="872">
        <f t="shared" si="3"/>
        <v>0</v>
      </c>
      <c r="Z6" s="872">
        <f t="shared" si="3"/>
        <v>0</v>
      </c>
      <c r="AA6" s="872">
        <f t="shared" si="3"/>
        <v>0</v>
      </c>
      <c r="AB6" s="872">
        <f t="shared" si="3"/>
        <v>0</v>
      </c>
      <c r="AC6" s="873">
        <f t="shared" si="3"/>
        <v>0</v>
      </c>
    </row>
    <row r="7" spans="1:29" ht="12">
      <c r="A7" s="897"/>
      <c r="B7" s="569"/>
      <c r="C7" s="874" t="s">
        <v>102</v>
      </c>
      <c r="D7" s="570">
        <f>SUM(E7:AC7,E19:AC19)</f>
        <v>0</v>
      </c>
      <c r="E7" s="571">
        <f>'5 Finanční analýza (FRR_C)'!E6</f>
        <v>0</v>
      </c>
      <c r="F7" s="571">
        <f>'5 Finanční analýza (FRR_C)'!F6</f>
        <v>0</v>
      </c>
      <c r="G7" s="571">
        <f>'5 Finanční analýza (FRR_C)'!G6</f>
        <v>0</v>
      </c>
      <c r="H7" s="571">
        <f>'5 Finanční analýza (FRR_C)'!H6</f>
        <v>0</v>
      </c>
      <c r="I7" s="571">
        <f>'5 Finanční analýza (FRR_C)'!I6</f>
        <v>0</v>
      </c>
      <c r="J7" s="571">
        <f>'5 Finanční analýza (FRR_C)'!J6</f>
        <v>0</v>
      </c>
      <c r="K7" s="571">
        <f>'5 Finanční analýza (FRR_C)'!K6</f>
        <v>0</v>
      </c>
      <c r="L7" s="571">
        <f>'5 Finanční analýza (FRR_C)'!L6</f>
        <v>0</v>
      </c>
      <c r="M7" s="571">
        <f>'5 Finanční analýza (FRR_C)'!M6</f>
        <v>0</v>
      </c>
      <c r="N7" s="571">
        <f>'5 Finanční analýza (FRR_C)'!N6</f>
        <v>0</v>
      </c>
      <c r="O7" s="571">
        <f>'5 Finanční analýza (FRR_C)'!O6</f>
        <v>0</v>
      </c>
      <c r="P7" s="571">
        <f>'5 Finanční analýza (FRR_C)'!P6</f>
        <v>0</v>
      </c>
      <c r="Q7" s="571">
        <f>'5 Finanční analýza (FRR_C)'!Q6</f>
        <v>0</v>
      </c>
      <c r="R7" s="571">
        <f>'5 Finanční analýza (FRR_C)'!R6</f>
        <v>0</v>
      </c>
      <c r="S7" s="571">
        <f>'5 Finanční analýza (FRR_C)'!S6</f>
        <v>0</v>
      </c>
      <c r="T7" s="571">
        <f>'5 Finanční analýza (FRR_C)'!T6</f>
        <v>0</v>
      </c>
      <c r="U7" s="571">
        <f>'5 Finanční analýza (FRR_C)'!U6</f>
        <v>0</v>
      </c>
      <c r="V7" s="571">
        <f>'5 Finanční analýza (FRR_C)'!V6</f>
        <v>0</v>
      </c>
      <c r="W7" s="571">
        <f>'5 Finanční analýza (FRR_C)'!W6</f>
        <v>0</v>
      </c>
      <c r="X7" s="571">
        <f>'5 Finanční analýza (FRR_C)'!X6</f>
        <v>0</v>
      </c>
      <c r="Y7" s="571">
        <f>'5 Finanční analýza (FRR_C)'!Y6</f>
        <v>0</v>
      </c>
      <c r="Z7" s="571">
        <f>'5 Finanční analýza (FRR_C)'!Z6</f>
        <v>0</v>
      </c>
      <c r="AA7" s="571">
        <f>'5 Finanční analýza (FRR_C)'!AA6</f>
        <v>0</v>
      </c>
      <c r="AB7" s="571">
        <f>'5 Finanční analýza (FRR_C)'!AB6</f>
        <v>0</v>
      </c>
      <c r="AC7" s="572">
        <f>'5 Finanční analýza (FRR_C)'!AC6</f>
        <v>0</v>
      </c>
    </row>
    <row r="8" spans="1:29" ht="12">
      <c r="A8" s="897"/>
      <c r="B8" s="569"/>
      <c r="C8" s="875" t="s">
        <v>155</v>
      </c>
      <c r="D8" s="570">
        <f>SUM(E8:AC8,E20:AC20)</f>
        <v>0</v>
      </c>
      <c r="E8" s="571">
        <f>'8 Finanční struktura'!E6+'8 Finanční struktura'!E9</f>
        <v>0</v>
      </c>
      <c r="F8" s="571">
        <f>'8 Finanční struktura'!F6+'8 Finanční struktura'!F9</f>
        <v>0</v>
      </c>
      <c r="G8" s="571">
        <f>'8 Finanční struktura'!G6+'8 Finanční struktura'!G9</f>
        <v>0</v>
      </c>
      <c r="H8" s="571">
        <f>'8 Finanční struktura'!H6+'8 Finanční struktura'!H9</f>
        <v>0</v>
      </c>
      <c r="I8" s="571">
        <f>'8 Finanční struktura'!S6+'8 Finanční struktura'!S9</f>
        <v>0</v>
      </c>
      <c r="J8" s="571">
        <f>'8 Finanční struktura'!T6+'8 Finanční struktura'!T9</f>
        <v>0</v>
      </c>
      <c r="K8" s="571">
        <f>'8 Finanční struktura'!U6+'8 Finanční struktura'!U9</f>
        <v>0</v>
      </c>
      <c r="L8" s="571">
        <f>'8 Finanční struktura'!V6+'8 Finanční struktura'!V9</f>
        <v>0</v>
      </c>
      <c r="M8" s="571">
        <f>'8 Finanční struktura'!W6+'8 Finanční struktura'!W9</f>
        <v>0</v>
      </c>
      <c r="N8" s="571">
        <f>'8 Finanční struktura'!X6+'8 Finanční struktura'!X9</f>
        <v>0</v>
      </c>
      <c r="O8" s="571">
        <f>'8 Finanční struktura'!Y6+'8 Finanční struktura'!Y9</f>
        <v>0</v>
      </c>
      <c r="P8" s="571">
        <f>'8 Finanční struktura'!Z6+'8 Finanční struktura'!Z9</f>
        <v>0</v>
      </c>
      <c r="Q8" s="571">
        <f>'8 Finanční struktura'!AA6+'8 Finanční struktura'!AA9</f>
        <v>0</v>
      </c>
      <c r="R8" s="571">
        <f>'8 Finanční struktura'!AB6+'8 Finanční struktura'!AB9</f>
        <v>0</v>
      </c>
      <c r="S8" s="571">
        <f>'8 Finanční struktura'!AC6+'8 Finanční struktura'!AC9</f>
        <v>0</v>
      </c>
      <c r="T8" s="571">
        <f>'8 Finanční struktura'!AD6+'8 Finanční struktura'!AD9</f>
        <v>0</v>
      </c>
      <c r="U8" s="571">
        <f>'8 Finanční struktura'!AE6+'8 Finanční struktura'!AE9</f>
        <v>0</v>
      </c>
      <c r="V8" s="571">
        <f>'8 Finanční struktura'!AF6+'8 Finanční struktura'!AF9</f>
        <v>0</v>
      </c>
      <c r="W8" s="571">
        <f>'8 Finanční struktura'!AG6+'8 Finanční struktura'!AG9</f>
        <v>0</v>
      </c>
      <c r="X8" s="571">
        <f>'8 Finanční struktura'!AH6+'8 Finanční struktura'!AH9</f>
        <v>0</v>
      </c>
      <c r="Y8" s="571">
        <f>'8 Finanční struktura'!AI6+'8 Finanční struktura'!AI9</f>
        <v>0</v>
      </c>
      <c r="Z8" s="571">
        <f>'8 Finanční struktura'!AJ6+'8 Finanční struktura'!AJ9</f>
        <v>0</v>
      </c>
      <c r="AA8" s="571">
        <f>'8 Finanční struktura'!AK6+'8 Finanční struktura'!AK9</f>
        <v>0</v>
      </c>
      <c r="AB8" s="571">
        <f>'8 Finanční struktura'!AL6+'8 Finanční struktura'!AL9</f>
        <v>0</v>
      </c>
      <c r="AC8" s="572">
        <f>'8 Finanční struktura'!AM6+'8 Finanční struktura'!AM9</f>
        <v>0</v>
      </c>
    </row>
    <row r="9" spans="2:29" ht="12">
      <c r="B9" s="869"/>
      <c r="C9" s="869" t="s">
        <v>118</v>
      </c>
      <c r="D9" s="870">
        <f>SUM(D7:D8)</f>
        <v>0</v>
      </c>
      <c r="E9" s="871">
        <f aca="true" t="shared" si="4" ref="E9:S9">SUM(E7:E8)</f>
        <v>0</v>
      </c>
      <c r="F9" s="872">
        <f t="shared" si="4"/>
        <v>0</v>
      </c>
      <c r="G9" s="872">
        <f t="shared" si="4"/>
        <v>0</v>
      </c>
      <c r="H9" s="872">
        <f t="shared" si="4"/>
        <v>0</v>
      </c>
      <c r="I9" s="872">
        <f t="shared" si="4"/>
        <v>0</v>
      </c>
      <c r="J9" s="872">
        <f t="shared" si="4"/>
        <v>0</v>
      </c>
      <c r="K9" s="872">
        <f t="shared" si="4"/>
        <v>0</v>
      </c>
      <c r="L9" s="872">
        <f t="shared" si="4"/>
        <v>0</v>
      </c>
      <c r="M9" s="872">
        <f t="shared" si="4"/>
        <v>0</v>
      </c>
      <c r="N9" s="872">
        <f t="shared" si="4"/>
        <v>0</v>
      </c>
      <c r="O9" s="872">
        <f t="shared" si="4"/>
        <v>0</v>
      </c>
      <c r="P9" s="872">
        <f t="shared" si="4"/>
        <v>0</v>
      </c>
      <c r="Q9" s="872">
        <f t="shared" si="4"/>
        <v>0</v>
      </c>
      <c r="R9" s="872">
        <f t="shared" si="4"/>
        <v>0</v>
      </c>
      <c r="S9" s="872">
        <f t="shared" si="4"/>
        <v>0</v>
      </c>
      <c r="T9" s="872">
        <f aca="true" t="shared" si="5" ref="T9:AC9">SUM(T7:T8)</f>
        <v>0</v>
      </c>
      <c r="U9" s="872">
        <f t="shared" si="5"/>
        <v>0</v>
      </c>
      <c r="V9" s="872">
        <f t="shared" si="5"/>
        <v>0</v>
      </c>
      <c r="W9" s="872">
        <f t="shared" si="5"/>
        <v>0</v>
      </c>
      <c r="X9" s="872">
        <f t="shared" si="5"/>
        <v>0</v>
      </c>
      <c r="Y9" s="872">
        <f t="shared" si="5"/>
        <v>0</v>
      </c>
      <c r="Z9" s="872">
        <f t="shared" si="5"/>
        <v>0</v>
      </c>
      <c r="AA9" s="872">
        <f t="shared" si="5"/>
        <v>0</v>
      </c>
      <c r="AB9" s="872">
        <f t="shared" si="5"/>
        <v>0</v>
      </c>
      <c r="AC9" s="873">
        <f t="shared" si="5"/>
        <v>0</v>
      </c>
    </row>
    <row r="10" spans="2:29" ht="12">
      <c r="B10" s="876"/>
      <c r="C10" s="876" t="s">
        <v>1</v>
      </c>
      <c r="D10" s="877"/>
      <c r="E10" s="878">
        <f aca="true" t="shared" si="6" ref="E10:S10">E6-E9</f>
        <v>0</v>
      </c>
      <c r="F10" s="598">
        <f t="shared" si="6"/>
        <v>0</v>
      </c>
      <c r="G10" s="598">
        <f t="shared" si="6"/>
        <v>0</v>
      </c>
      <c r="H10" s="598">
        <f t="shared" si="6"/>
        <v>0</v>
      </c>
      <c r="I10" s="598">
        <f t="shared" si="6"/>
        <v>0</v>
      </c>
      <c r="J10" s="598">
        <f t="shared" si="6"/>
        <v>0</v>
      </c>
      <c r="K10" s="598">
        <f t="shared" si="6"/>
        <v>0</v>
      </c>
      <c r="L10" s="598">
        <f t="shared" si="6"/>
        <v>0</v>
      </c>
      <c r="M10" s="598">
        <f t="shared" si="6"/>
        <v>0</v>
      </c>
      <c r="N10" s="598">
        <f t="shared" si="6"/>
        <v>0</v>
      </c>
      <c r="O10" s="598">
        <f t="shared" si="6"/>
        <v>0</v>
      </c>
      <c r="P10" s="598">
        <f t="shared" si="6"/>
        <v>0</v>
      </c>
      <c r="Q10" s="598">
        <f t="shared" si="6"/>
        <v>0</v>
      </c>
      <c r="R10" s="598">
        <f t="shared" si="6"/>
        <v>0</v>
      </c>
      <c r="S10" s="598">
        <f t="shared" si="6"/>
        <v>0</v>
      </c>
      <c r="T10" s="598">
        <f aca="true" t="shared" si="7" ref="T10:AC10">T6-T9</f>
        <v>0</v>
      </c>
      <c r="U10" s="598">
        <f t="shared" si="7"/>
        <v>0</v>
      </c>
      <c r="V10" s="598">
        <f t="shared" si="7"/>
        <v>0</v>
      </c>
      <c r="W10" s="598">
        <f t="shared" si="7"/>
        <v>0</v>
      </c>
      <c r="X10" s="598">
        <f t="shared" si="7"/>
        <v>0</v>
      </c>
      <c r="Y10" s="598">
        <f t="shared" si="7"/>
        <v>0</v>
      </c>
      <c r="Z10" s="598">
        <f t="shared" si="7"/>
        <v>0</v>
      </c>
      <c r="AA10" s="598">
        <f t="shared" si="7"/>
        <v>0</v>
      </c>
      <c r="AB10" s="598">
        <f t="shared" si="7"/>
        <v>0</v>
      </c>
      <c r="AC10" s="567">
        <f t="shared" si="7"/>
        <v>0</v>
      </c>
    </row>
    <row r="11" spans="1:29" ht="12">
      <c r="A11" s="898"/>
      <c r="B11" s="578"/>
      <c r="C11" s="569" t="s">
        <v>47</v>
      </c>
      <c r="D11" s="579">
        <f>'0 Úvod'!D21</f>
        <v>0.05</v>
      </c>
      <c r="E11" s="580">
        <v>1</v>
      </c>
      <c r="F11" s="580">
        <f>E11/(1+$D$11)</f>
        <v>0.9523809523809523</v>
      </c>
      <c r="G11" s="580">
        <f aca="true" t="shared" si="8" ref="G11:S11">F11/(1+$D$11)</f>
        <v>0.9070294784580498</v>
      </c>
      <c r="H11" s="580">
        <f t="shared" si="8"/>
        <v>0.863837598531476</v>
      </c>
      <c r="I11" s="580">
        <f t="shared" si="8"/>
        <v>0.8227024747918819</v>
      </c>
      <c r="J11" s="580">
        <f t="shared" si="8"/>
        <v>0.7835261664684589</v>
      </c>
      <c r="K11" s="580">
        <f t="shared" si="8"/>
        <v>0.7462153966366274</v>
      </c>
      <c r="L11" s="580">
        <f t="shared" si="8"/>
        <v>0.7106813301301212</v>
      </c>
      <c r="M11" s="580">
        <f t="shared" si="8"/>
        <v>0.6768393620286869</v>
      </c>
      <c r="N11" s="580">
        <f t="shared" si="8"/>
        <v>0.644608916217797</v>
      </c>
      <c r="O11" s="580">
        <f t="shared" si="8"/>
        <v>0.6139132535407591</v>
      </c>
      <c r="P11" s="580">
        <f t="shared" si="8"/>
        <v>0.5846792890864372</v>
      </c>
      <c r="Q11" s="580">
        <f t="shared" si="8"/>
        <v>0.5568374181775592</v>
      </c>
      <c r="R11" s="580">
        <f t="shared" si="8"/>
        <v>0.5303213506452944</v>
      </c>
      <c r="S11" s="580">
        <f t="shared" si="8"/>
        <v>0.5050679529955184</v>
      </c>
      <c r="T11" s="580">
        <f aca="true" t="shared" si="9" ref="T11:AC11">S11/(1+$D$11)</f>
        <v>0.48101709809096993</v>
      </c>
      <c r="U11" s="580">
        <f t="shared" si="9"/>
        <v>0.45811152199139993</v>
      </c>
      <c r="V11" s="580">
        <f t="shared" si="9"/>
        <v>0.43629668761085705</v>
      </c>
      <c r="W11" s="580">
        <f t="shared" si="9"/>
        <v>0.4155206548674829</v>
      </c>
      <c r="X11" s="580">
        <f t="shared" si="9"/>
        <v>0.3957339570166504</v>
      </c>
      <c r="Y11" s="580">
        <f t="shared" si="9"/>
        <v>0.37688948287300034</v>
      </c>
      <c r="Z11" s="580">
        <f t="shared" si="9"/>
        <v>0.3589423646409527</v>
      </c>
      <c r="AA11" s="580">
        <f t="shared" si="9"/>
        <v>0.3418498710866216</v>
      </c>
      <c r="AB11" s="580">
        <f t="shared" si="9"/>
        <v>0.3255713057967825</v>
      </c>
      <c r="AC11" s="581">
        <f t="shared" si="9"/>
        <v>0.31006791028265</v>
      </c>
    </row>
    <row r="12" spans="1:29" s="540" customFormat="1" ht="12.75" thickBot="1">
      <c r="A12" s="542"/>
      <c r="B12" s="582"/>
      <c r="C12" s="583" t="s">
        <v>119</v>
      </c>
      <c r="D12" s="605" t="e">
        <f>SUM(E12:AC12,E24:AC24)</f>
        <v>#DIV/0!</v>
      </c>
      <c r="E12" s="585">
        <f>E10*E11</f>
        <v>0</v>
      </c>
      <c r="F12" s="585">
        <f aca="true" t="shared" si="10" ref="F12:S12">F10*F11</f>
        <v>0</v>
      </c>
      <c r="G12" s="585">
        <f t="shared" si="10"/>
        <v>0</v>
      </c>
      <c r="H12" s="585">
        <f t="shared" si="10"/>
        <v>0</v>
      </c>
      <c r="I12" s="585">
        <f t="shared" si="10"/>
        <v>0</v>
      </c>
      <c r="J12" s="585">
        <f t="shared" si="10"/>
        <v>0</v>
      </c>
      <c r="K12" s="585">
        <f t="shared" si="10"/>
        <v>0</v>
      </c>
      <c r="L12" s="585">
        <f t="shared" si="10"/>
        <v>0</v>
      </c>
      <c r="M12" s="585">
        <f t="shared" si="10"/>
        <v>0</v>
      </c>
      <c r="N12" s="585">
        <f t="shared" si="10"/>
        <v>0</v>
      </c>
      <c r="O12" s="585">
        <f t="shared" si="10"/>
        <v>0</v>
      </c>
      <c r="P12" s="585">
        <f t="shared" si="10"/>
        <v>0</v>
      </c>
      <c r="Q12" s="585">
        <f t="shared" si="10"/>
        <v>0</v>
      </c>
      <c r="R12" s="585">
        <f t="shared" si="10"/>
        <v>0</v>
      </c>
      <c r="S12" s="585">
        <f t="shared" si="10"/>
        <v>0</v>
      </c>
      <c r="T12" s="585">
        <f aca="true" t="shared" si="11" ref="T12:AC12">T10*T11</f>
        <v>0</v>
      </c>
      <c r="U12" s="585">
        <f t="shared" si="11"/>
        <v>0</v>
      </c>
      <c r="V12" s="585">
        <f t="shared" si="11"/>
        <v>0</v>
      </c>
      <c r="W12" s="585">
        <f t="shared" si="11"/>
        <v>0</v>
      </c>
      <c r="X12" s="585">
        <f t="shared" si="11"/>
        <v>0</v>
      </c>
      <c r="Y12" s="585">
        <f t="shared" si="11"/>
        <v>0</v>
      </c>
      <c r="Z12" s="585">
        <f t="shared" si="11"/>
        <v>0</v>
      </c>
      <c r="AA12" s="585">
        <f t="shared" si="11"/>
        <v>0</v>
      </c>
      <c r="AB12" s="585">
        <f t="shared" si="11"/>
        <v>0</v>
      </c>
      <c r="AC12" s="586">
        <f t="shared" si="11"/>
        <v>0</v>
      </c>
    </row>
    <row r="13" spans="5:28" ht="13.5" customHeight="1" thickBot="1"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</row>
    <row r="14" spans="2:29" ht="12.75">
      <c r="B14" s="879" t="s">
        <v>23</v>
      </c>
      <c r="C14" s="880" t="str">
        <f>C2</f>
        <v>Kalkulace finančního vnitřního výnosového procenta</v>
      </c>
      <c r="D14" s="881"/>
      <c r="E14" s="988">
        <f>AC2+1</f>
        <v>2039</v>
      </c>
      <c r="F14" s="980">
        <f aca="true" t="shared" si="12" ref="F14:S14">E14+1</f>
        <v>2040</v>
      </c>
      <c r="G14" s="980">
        <f t="shared" si="12"/>
        <v>2041</v>
      </c>
      <c r="H14" s="980">
        <f t="shared" si="12"/>
        <v>2042</v>
      </c>
      <c r="I14" s="980">
        <f t="shared" si="12"/>
        <v>2043</v>
      </c>
      <c r="J14" s="980">
        <f t="shared" si="12"/>
        <v>2044</v>
      </c>
      <c r="K14" s="980">
        <f t="shared" si="12"/>
        <v>2045</v>
      </c>
      <c r="L14" s="980">
        <f t="shared" si="12"/>
        <v>2046</v>
      </c>
      <c r="M14" s="980">
        <f t="shared" si="12"/>
        <v>2047</v>
      </c>
      <c r="N14" s="980">
        <f t="shared" si="12"/>
        <v>2048</v>
      </c>
      <c r="O14" s="980">
        <f t="shared" si="12"/>
        <v>2049</v>
      </c>
      <c r="P14" s="980">
        <f t="shared" si="12"/>
        <v>2050</v>
      </c>
      <c r="Q14" s="980">
        <f t="shared" si="12"/>
        <v>2051</v>
      </c>
      <c r="R14" s="980">
        <f t="shared" si="12"/>
        <v>2052</v>
      </c>
      <c r="S14" s="980">
        <f t="shared" si="12"/>
        <v>2053</v>
      </c>
      <c r="T14" s="980">
        <f aca="true" t="shared" si="13" ref="T14:AC14">S14+1</f>
        <v>2054</v>
      </c>
      <c r="U14" s="980">
        <f t="shared" si="13"/>
        <v>2055</v>
      </c>
      <c r="V14" s="980">
        <f t="shared" si="13"/>
        <v>2056</v>
      </c>
      <c r="W14" s="980">
        <f t="shared" si="13"/>
        <v>2057</v>
      </c>
      <c r="X14" s="980">
        <f t="shared" si="13"/>
        <v>2058</v>
      </c>
      <c r="Y14" s="980">
        <f t="shared" si="13"/>
        <v>2059</v>
      </c>
      <c r="Z14" s="980">
        <f t="shared" si="13"/>
        <v>2060</v>
      </c>
      <c r="AA14" s="980">
        <f t="shared" si="13"/>
        <v>2061</v>
      </c>
      <c r="AB14" s="980">
        <f t="shared" si="13"/>
        <v>2062</v>
      </c>
      <c r="AC14" s="992">
        <f t="shared" si="13"/>
        <v>2063</v>
      </c>
    </row>
    <row r="15" spans="1:29" ht="13.5" thickBot="1">
      <c r="A15" s="897"/>
      <c r="B15" s="882" t="s">
        <v>26</v>
      </c>
      <c r="C15" s="883" t="str">
        <f>C3</f>
        <v>kapitálu - FRR/K (CZK)</v>
      </c>
      <c r="D15" s="884"/>
      <c r="E15" s="989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93"/>
    </row>
    <row r="16" spans="1:29" ht="12">
      <c r="A16" s="897"/>
      <c r="B16" s="569"/>
      <c r="C16" s="593" t="str">
        <f aca="true" t="shared" si="14" ref="C16:C24">C4</f>
        <v>Zůstatková hodnota</v>
      </c>
      <c r="D16" s="570"/>
      <c r="E16" s="571">
        <f>'2 Zůstatková hodnota'!E32</f>
        <v>0</v>
      </c>
      <c r="F16" s="571">
        <f>'2 Zůstatková hodnota'!F32</f>
        <v>0</v>
      </c>
      <c r="G16" s="571">
        <f>'2 Zůstatková hodnota'!G32</f>
        <v>0</v>
      </c>
      <c r="H16" s="571">
        <f>'2 Zůstatková hodnota'!H32</f>
        <v>0</v>
      </c>
      <c r="I16" s="571" t="e">
        <f>'2 Zůstatková hodnota'!I32</f>
        <v>#DIV/0!</v>
      </c>
      <c r="J16" s="571">
        <f>'2 Zůstatková hodnota'!J32</f>
        <v>0</v>
      </c>
      <c r="K16" s="571">
        <f>'2 Zůstatková hodnota'!K32</f>
        <v>0</v>
      </c>
      <c r="L16" s="571">
        <f>'2 Zůstatková hodnota'!L32</f>
        <v>0</v>
      </c>
      <c r="M16" s="571">
        <f>'2 Zůstatková hodnota'!M32</f>
        <v>0</v>
      </c>
      <c r="N16" s="571">
        <f>'2 Zůstatková hodnota'!N32</f>
        <v>0</v>
      </c>
      <c r="O16" s="571">
        <f>'2 Zůstatková hodnota'!O32</f>
        <v>0</v>
      </c>
      <c r="P16" s="571">
        <f>'2 Zůstatková hodnota'!P32</f>
        <v>0</v>
      </c>
      <c r="Q16" s="571">
        <f>'2 Zůstatková hodnota'!Q32</f>
        <v>0</v>
      </c>
      <c r="R16" s="571">
        <f>'2 Zůstatková hodnota'!R32</f>
        <v>0</v>
      </c>
      <c r="S16" s="571">
        <f>'2 Zůstatková hodnota'!S32</f>
        <v>0</v>
      </c>
      <c r="T16" s="571">
        <f>'2 Zůstatková hodnota'!T32</f>
        <v>0</v>
      </c>
      <c r="U16" s="571">
        <f>'2 Zůstatková hodnota'!U32</f>
        <v>0</v>
      </c>
      <c r="V16" s="571">
        <f>'2 Zůstatková hodnota'!V32</f>
        <v>0</v>
      </c>
      <c r="W16" s="571">
        <f>'2 Zůstatková hodnota'!W32</f>
        <v>0</v>
      </c>
      <c r="X16" s="571">
        <f>'2 Zůstatková hodnota'!X32</f>
        <v>0</v>
      </c>
      <c r="Y16" s="571">
        <f>'2 Zůstatková hodnota'!Y32</f>
        <v>0</v>
      </c>
      <c r="Z16" s="571">
        <f>'2 Zůstatková hodnota'!Z32</f>
        <v>0</v>
      </c>
      <c r="AA16" s="571">
        <f>'2 Zůstatková hodnota'!AA32</f>
        <v>0</v>
      </c>
      <c r="AB16" s="571">
        <f>'2 Zůstatková hodnota'!AB32</f>
        <v>0</v>
      </c>
      <c r="AC16" s="572">
        <f>'2 Zůstatková hodnota'!AC32</f>
        <v>0</v>
      </c>
    </row>
    <row r="17" spans="1:29" ht="12">
      <c r="A17" s="897"/>
      <c r="B17" s="569"/>
      <c r="C17" s="593" t="str">
        <f t="shared" si="14"/>
        <v>Přírůstek celkových provozních příjmů</v>
      </c>
      <c r="D17" s="570"/>
      <c r="E17" s="680">
        <f>'5 Finanční analýza (FRR_C)'!E16</f>
        <v>0</v>
      </c>
      <c r="F17" s="571">
        <f>'5 Finanční analýza (FRR_C)'!F16</f>
        <v>0</v>
      </c>
      <c r="G17" s="571">
        <f>'5 Finanční analýza (FRR_C)'!G16</f>
        <v>0</v>
      </c>
      <c r="H17" s="571">
        <f>'5 Finanční analýza (FRR_C)'!H16</f>
        <v>0</v>
      </c>
      <c r="I17" s="571">
        <f>'5 Finanční analýza (FRR_C)'!I16</f>
        <v>0</v>
      </c>
      <c r="J17" s="571">
        <f>'5 Finanční analýza (FRR_C)'!J16</f>
        <v>0</v>
      </c>
      <c r="K17" s="571">
        <f>'5 Finanční analýza (FRR_C)'!K16</f>
        <v>0</v>
      </c>
      <c r="L17" s="571">
        <f>'5 Finanční analýza (FRR_C)'!L16</f>
        <v>0</v>
      </c>
      <c r="M17" s="571">
        <f>'5 Finanční analýza (FRR_C)'!M16</f>
        <v>0</v>
      </c>
      <c r="N17" s="571">
        <f>'5 Finanční analýza (FRR_C)'!N16</f>
        <v>0</v>
      </c>
      <c r="O17" s="571">
        <f>'5 Finanční analýza (FRR_C)'!O16</f>
        <v>0</v>
      </c>
      <c r="P17" s="571">
        <f>'5 Finanční analýza (FRR_C)'!P16</f>
        <v>0</v>
      </c>
      <c r="Q17" s="571">
        <f>'5 Finanční analýza (FRR_C)'!Q16</f>
        <v>0</v>
      </c>
      <c r="R17" s="571">
        <f>'5 Finanční analýza (FRR_C)'!R16</f>
        <v>0</v>
      </c>
      <c r="S17" s="571">
        <f>'5 Finanční analýza (FRR_C)'!S16</f>
        <v>0</v>
      </c>
      <c r="T17" s="571">
        <f>'5 Finanční analýza (FRR_C)'!T16</f>
        <v>0</v>
      </c>
      <c r="U17" s="571">
        <f>'5 Finanční analýza (FRR_C)'!U16</f>
        <v>0</v>
      </c>
      <c r="V17" s="571">
        <f>'5 Finanční analýza (FRR_C)'!V16</f>
        <v>0</v>
      </c>
      <c r="W17" s="571">
        <f>'5 Finanční analýza (FRR_C)'!W16</f>
        <v>0</v>
      </c>
      <c r="X17" s="571">
        <f>'5 Finanční analýza (FRR_C)'!X16</f>
        <v>0</v>
      </c>
      <c r="Y17" s="571">
        <f>'5 Finanční analýza (FRR_C)'!Y16</f>
        <v>0</v>
      </c>
      <c r="Z17" s="571">
        <f>'5 Finanční analýza (FRR_C)'!Z16</f>
        <v>0</v>
      </c>
      <c r="AA17" s="571">
        <f>'5 Finanční analýza (FRR_C)'!AA16</f>
        <v>0</v>
      </c>
      <c r="AB17" s="571">
        <f>'5 Finanční analýza (FRR_C)'!AB16</f>
        <v>0</v>
      </c>
      <c r="AC17" s="572">
        <f>'5 Finanční analýza (FRR_C)'!AC16</f>
        <v>0</v>
      </c>
    </row>
    <row r="18" spans="2:29" ht="12">
      <c r="B18" s="885"/>
      <c r="C18" s="886" t="str">
        <f t="shared" si="14"/>
        <v>Celkové příjmy</v>
      </c>
      <c r="D18" s="870"/>
      <c r="E18" s="887">
        <f>SUM(E16:E17)</f>
        <v>0</v>
      </c>
      <c r="F18" s="888">
        <f aca="true" t="shared" si="15" ref="F18:S18">SUM(F16:F17)</f>
        <v>0</v>
      </c>
      <c r="G18" s="888">
        <f t="shared" si="15"/>
        <v>0</v>
      </c>
      <c r="H18" s="888">
        <f t="shared" si="15"/>
        <v>0</v>
      </c>
      <c r="I18" s="888" t="e">
        <f t="shared" si="15"/>
        <v>#DIV/0!</v>
      </c>
      <c r="J18" s="888">
        <f t="shared" si="15"/>
        <v>0</v>
      </c>
      <c r="K18" s="888">
        <f t="shared" si="15"/>
        <v>0</v>
      </c>
      <c r="L18" s="888">
        <f t="shared" si="15"/>
        <v>0</v>
      </c>
      <c r="M18" s="888">
        <f t="shared" si="15"/>
        <v>0</v>
      </c>
      <c r="N18" s="888">
        <f t="shared" si="15"/>
        <v>0</v>
      </c>
      <c r="O18" s="888">
        <f t="shared" si="15"/>
        <v>0</v>
      </c>
      <c r="P18" s="888">
        <f t="shared" si="15"/>
        <v>0</v>
      </c>
      <c r="Q18" s="888">
        <f t="shared" si="15"/>
        <v>0</v>
      </c>
      <c r="R18" s="888">
        <f t="shared" si="15"/>
        <v>0</v>
      </c>
      <c r="S18" s="888">
        <f t="shared" si="15"/>
        <v>0</v>
      </c>
      <c r="T18" s="888">
        <f aca="true" t="shared" si="16" ref="T18:AC18">SUM(T16:T17)</f>
        <v>0</v>
      </c>
      <c r="U18" s="888">
        <f t="shared" si="16"/>
        <v>0</v>
      </c>
      <c r="V18" s="888">
        <f t="shared" si="16"/>
        <v>0</v>
      </c>
      <c r="W18" s="888">
        <f t="shared" si="16"/>
        <v>0</v>
      </c>
      <c r="X18" s="888">
        <f t="shared" si="16"/>
        <v>0</v>
      </c>
      <c r="Y18" s="888">
        <f t="shared" si="16"/>
        <v>0</v>
      </c>
      <c r="Z18" s="888">
        <f t="shared" si="16"/>
        <v>0</v>
      </c>
      <c r="AA18" s="888">
        <f t="shared" si="16"/>
        <v>0</v>
      </c>
      <c r="AB18" s="888">
        <f t="shared" si="16"/>
        <v>0</v>
      </c>
      <c r="AC18" s="889">
        <f t="shared" si="16"/>
        <v>0</v>
      </c>
    </row>
    <row r="19" spans="1:29" ht="12">
      <c r="A19" s="897"/>
      <c r="B19" s="578"/>
      <c r="C19" s="593" t="str">
        <f t="shared" si="14"/>
        <v>Přírůstkové celkové provozní náklady</v>
      </c>
      <c r="D19" s="570"/>
      <c r="E19" s="680">
        <f>'5 Finanční analýza (FRR_C)'!E18</f>
        <v>0</v>
      </c>
      <c r="F19" s="571">
        <f>'5 Finanční analýza (FRR_C)'!F18</f>
        <v>0</v>
      </c>
      <c r="G19" s="571">
        <f>'5 Finanční analýza (FRR_C)'!G18</f>
        <v>0</v>
      </c>
      <c r="H19" s="571">
        <f>'5 Finanční analýza (FRR_C)'!H18</f>
        <v>0</v>
      </c>
      <c r="I19" s="571">
        <f>'5 Finanční analýza (FRR_C)'!I18</f>
        <v>0</v>
      </c>
      <c r="J19" s="571">
        <f>'5 Finanční analýza (FRR_C)'!J18</f>
        <v>0</v>
      </c>
      <c r="K19" s="571">
        <f>'5 Finanční analýza (FRR_C)'!K18</f>
        <v>0</v>
      </c>
      <c r="L19" s="571">
        <f>'5 Finanční analýza (FRR_C)'!L18</f>
        <v>0</v>
      </c>
      <c r="M19" s="571">
        <f>'5 Finanční analýza (FRR_C)'!M18</f>
        <v>0</v>
      </c>
      <c r="N19" s="571">
        <f>'5 Finanční analýza (FRR_C)'!N18</f>
        <v>0</v>
      </c>
      <c r="O19" s="571">
        <f>'5 Finanční analýza (FRR_C)'!O18</f>
        <v>0</v>
      </c>
      <c r="P19" s="571">
        <f>'5 Finanční analýza (FRR_C)'!P18</f>
        <v>0</v>
      </c>
      <c r="Q19" s="571">
        <f>'5 Finanční analýza (FRR_C)'!Q18</f>
        <v>0</v>
      </c>
      <c r="R19" s="571">
        <f>'5 Finanční analýza (FRR_C)'!R18</f>
        <v>0</v>
      </c>
      <c r="S19" s="571">
        <f>'5 Finanční analýza (FRR_C)'!S18</f>
        <v>0</v>
      </c>
      <c r="T19" s="571">
        <f>'5 Finanční analýza (FRR_C)'!T18</f>
        <v>0</v>
      </c>
      <c r="U19" s="571">
        <f>'5 Finanční analýza (FRR_C)'!U18</f>
        <v>0</v>
      </c>
      <c r="V19" s="571">
        <f>'5 Finanční analýza (FRR_C)'!V18</f>
        <v>0</v>
      </c>
      <c r="W19" s="571">
        <f>'5 Finanční analýza (FRR_C)'!W18</f>
        <v>0</v>
      </c>
      <c r="X19" s="571">
        <f>'5 Finanční analýza (FRR_C)'!X18</f>
        <v>0</v>
      </c>
      <c r="Y19" s="571">
        <f>'5 Finanční analýza (FRR_C)'!Y18</f>
        <v>0</v>
      </c>
      <c r="Z19" s="571">
        <f>'5 Finanční analýza (FRR_C)'!Z18</f>
        <v>0</v>
      </c>
      <c r="AA19" s="571">
        <f>'5 Finanční analýza (FRR_C)'!AA18</f>
        <v>0</v>
      </c>
      <c r="AB19" s="571">
        <f>'5 Finanční analýza (FRR_C)'!AB18</f>
        <v>0</v>
      </c>
      <c r="AC19" s="572">
        <f>'5 Finanční analýza (FRR_C)'!AC18</f>
        <v>0</v>
      </c>
    </row>
    <row r="20" spans="1:29" ht="12">
      <c r="A20" s="897"/>
      <c r="B20" s="578"/>
      <c r="C20" s="890" t="str">
        <f t="shared" si="14"/>
        <v>příspěvky žadatele + národní zdroje</v>
      </c>
      <c r="D20" s="570"/>
      <c r="E20" s="680">
        <f>'8 Finanční struktura'!E21+'8 Finanční struktura'!E24</f>
        <v>0</v>
      </c>
      <c r="F20" s="571">
        <f>'8 Finanční struktura'!F21+'8 Finanční struktura'!F24</f>
        <v>0</v>
      </c>
      <c r="G20" s="571">
        <f>'8 Finanční struktura'!G21+'8 Finanční struktura'!G24</f>
        <v>0</v>
      </c>
      <c r="H20" s="571">
        <f>'8 Finanční struktura'!H21+'8 Finanční struktura'!H24</f>
        <v>0</v>
      </c>
      <c r="I20" s="571">
        <f>'8 Finanční struktura'!S21+'8 Finanční struktura'!S24</f>
        <v>0</v>
      </c>
      <c r="J20" s="571">
        <f>'8 Finanční struktura'!T21+'8 Finanční struktura'!T24</f>
        <v>0</v>
      </c>
      <c r="K20" s="571">
        <f>'8 Finanční struktura'!U21+'8 Finanční struktura'!U24</f>
        <v>0</v>
      </c>
      <c r="L20" s="571">
        <f>'8 Finanční struktura'!V21+'8 Finanční struktura'!V24</f>
        <v>0</v>
      </c>
      <c r="M20" s="571">
        <f>'8 Finanční struktura'!W21+'8 Finanční struktura'!W24</f>
        <v>0</v>
      </c>
      <c r="N20" s="571">
        <f>'8 Finanční struktura'!X21+'8 Finanční struktura'!X24</f>
        <v>0</v>
      </c>
      <c r="O20" s="571">
        <f>'8 Finanční struktura'!Y21+'8 Finanční struktura'!Y24</f>
        <v>0</v>
      </c>
      <c r="P20" s="571">
        <f>'8 Finanční struktura'!Z21+'8 Finanční struktura'!Z24</f>
        <v>0</v>
      </c>
      <c r="Q20" s="571">
        <f>'8 Finanční struktura'!AA21+'8 Finanční struktura'!AA24</f>
        <v>0</v>
      </c>
      <c r="R20" s="571">
        <f>'8 Finanční struktura'!AB21+'8 Finanční struktura'!AB24</f>
        <v>0</v>
      </c>
      <c r="S20" s="571">
        <f>'8 Finanční struktura'!AC21+'8 Finanční struktura'!AC24</f>
        <v>0</v>
      </c>
      <c r="T20" s="571">
        <f>'8 Finanční struktura'!AD21+'8 Finanční struktura'!AD24</f>
        <v>0</v>
      </c>
      <c r="U20" s="571">
        <f>'8 Finanční struktura'!AE21+'8 Finanční struktura'!AE24</f>
        <v>0</v>
      </c>
      <c r="V20" s="571">
        <f>'8 Finanční struktura'!AF21+'8 Finanční struktura'!AF24</f>
        <v>0</v>
      </c>
      <c r="W20" s="571">
        <f>'8 Finanční struktura'!AG21+'8 Finanční struktura'!AG24</f>
        <v>0</v>
      </c>
      <c r="X20" s="571">
        <f>'8 Finanční struktura'!AH21+'8 Finanční struktura'!AH24</f>
        <v>0</v>
      </c>
      <c r="Y20" s="571">
        <f>'8 Finanční struktura'!AI21+'8 Finanční struktura'!AI24</f>
        <v>0</v>
      </c>
      <c r="Z20" s="571">
        <f>'8 Finanční struktura'!AJ21+'8 Finanční struktura'!AJ24</f>
        <v>0</v>
      </c>
      <c r="AA20" s="571">
        <f>'8 Finanční struktura'!AK21+'8 Finanční struktura'!AK24</f>
        <v>0</v>
      </c>
      <c r="AB20" s="571">
        <f>'8 Finanční struktura'!AL21+'8 Finanční struktura'!AL24</f>
        <v>0</v>
      </c>
      <c r="AC20" s="572">
        <f>'8 Finanční struktura'!AM21+'8 Finanční struktura'!AM24</f>
        <v>0</v>
      </c>
    </row>
    <row r="21" spans="2:29" ht="12">
      <c r="B21" s="869"/>
      <c r="C21" s="891" t="str">
        <f t="shared" si="14"/>
        <v>Celkové náklady</v>
      </c>
      <c r="D21" s="870"/>
      <c r="E21" s="871">
        <f aca="true" t="shared" si="17" ref="E21:S21">SUM(E19:E20)</f>
        <v>0</v>
      </c>
      <c r="F21" s="872">
        <f t="shared" si="17"/>
        <v>0</v>
      </c>
      <c r="G21" s="872">
        <f t="shared" si="17"/>
        <v>0</v>
      </c>
      <c r="H21" s="872">
        <f t="shared" si="17"/>
        <v>0</v>
      </c>
      <c r="I21" s="872">
        <f t="shared" si="17"/>
        <v>0</v>
      </c>
      <c r="J21" s="872">
        <f t="shared" si="17"/>
        <v>0</v>
      </c>
      <c r="K21" s="872">
        <f t="shared" si="17"/>
        <v>0</v>
      </c>
      <c r="L21" s="872">
        <f t="shared" si="17"/>
        <v>0</v>
      </c>
      <c r="M21" s="872">
        <f t="shared" si="17"/>
        <v>0</v>
      </c>
      <c r="N21" s="872">
        <f t="shared" si="17"/>
        <v>0</v>
      </c>
      <c r="O21" s="872">
        <f t="shared" si="17"/>
        <v>0</v>
      </c>
      <c r="P21" s="872">
        <f t="shared" si="17"/>
        <v>0</v>
      </c>
      <c r="Q21" s="872">
        <f t="shared" si="17"/>
        <v>0</v>
      </c>
      <c r="R21" s="872">
        <f t="shared" si="17"/>
        <v>0</v>
      </c>
      <c r="S21" s="872">
        <f t="shared" si="17"/>
        <v>0</v>
      </c>
      <c r="T21" s="872">
        <f aca="true" t="shared" si="18" ref="T21:AC21">SUM(T19:T20)</f>
        <v>0</v>
      </c>
      <c r="U21" s="872">
        <f t="shared" si="18"/>
        <v>0</v>
      </c>
      <c r="V21" s="872">
        <f t="shared" si="18"/>
        <v>0</v>
      </c>
      <c r="W21" s="872">
        <f t="shared" si="18"/>
        <v>0</v>
      </c>
      <c r="X21" s="872">
        <f t="shared" si="18"/>
        <v>0</v>
      </c>
      <c r="Y21" s="872">
        <f t="shared" si="18"/>
        <v>0</v>
      </c>
      <c r="Z21" s="872">
        <f t="shared" si="18"/>
        <v>0</v>
      </c>
      <c r="AA21" s="872">
        <f t="shared" si="18"/>
        <v>0</v>
      </c>
      <c r="AB21" s="872">
        <f t="shared" si="18"/>
        <v>0</v>
      </c>
      <c r="AC21" s="873">
        <f t="shared" si="18"/>
        <v>0</v>
      </c>
    </row>
    <row r="22" spans="2:29" ht="12">
      <c r="B22" s="876"/>
      <c r="C22" s="590" t="str">
        <f t="shared" si="14"/>
        <v>Cash Flow </v>
      </c>
      <c r="D22" s="877"/>
      <c r="E22" s="878">
        <f aca="true" t="shared" si="19" ref="E22:S22">E18-E21</f>
        <v>0</v>
      </c>
      <c r="F22" s="598">
        <f t="shared" si="19"/>
        <v>0</v>
      </c>
      <c r="G22" s="598">
        <f t="shared" si="19"/>
        <v>0</v>
      </c>
      <c r="H22" s="598">
        <f t="shared" si="19"/>
        <v>0</v>
      </c>
      <c r="I22" s="598" t="e">
        <f t="shared" si="19"/>
        <v>#DIV/0!</v>
      </c>
      <c r="J22" s="598">
        <f t="shared" si="19"/>
        <v>0</v>
      </c>
      <c r="K22" s="598">
        <f t="shared" si="19"/>
        <v>0</v>
      </c>
      <c r="L22" s="598">
        <f t="shared" si="19"/>
        <v>0</v>
      </c>
      <c r="M22" s="598">
        <f t="shared" si="19"/>
        <v>0</v>
      </c>
      <c r="N22" s="598">
        <f t="shared" si="19"/>
        <v>0</v>
      </c>
      <c r="O22" s="598">
        <f t="shared" si="19"/>
        <v>0</v>
      </c>
      <c r="P22" s="598">
        <f t="shared" si="19"/>
        <v>0</v>
      </c>
      <c r="Q22" s="598">
        <f t="shared" si="19"/>
        <v>0</v>
      </c>
      <c r="R22" s="598">
        <f t="shared" si="19"/>
        <v>0</v>
      </c>
      <c r="S22" s="598">
        <f t="shared" si="19"/>
        <v>0</v>
      </c>
      <c r="T22" s="598">
        <f aca="true" t="shared" si="20" ref="T22:AC22">T18-T21</f>
        <v>0</v>
      </c>
      <c r="U22" s="598">
        <f t="shared" si="20"/>
        <v>0</v>
      </c>
      <c r="V22" s="598">
        <f t="shared" si="20"/>
        <v>0</v>
      </c>
      <c r="W22" s="598">
        <f t="shared" si="20"/>
        <v>0</v>
      </c>
      <c r="X22" s="598">
        <f t="shared" si="20"/>
        <v>0</v>
      </c>
      <c r="Y22" s="598">
        <f t="shared" si="20"/>
        <v>0</v>
      </c>
      <c r="Z22" s="598">
        <f t="shared" si="20"/>
        <v>0</v>
      </c>
      <c r="AA22" s="598">
        <f t="shared" si="20"/>
        <v>0</v>
      </c>
      <c r="AB22" s="598">
        <f t="shared" si="20"/>
        <v>0</v>
      </c>
      <c r="AC22" s="567">
        <f t="shared" si="20"/>
        <v>0</v>
      </c>
    </row>
    <row r="23" spans="1:29" ht="12">
      <c r="A23" s="897"/>
      <c r="B23" s="569"/>
      <c r="C23" s="599" t="str">
        <f t="shared" si="14"/>
        <v>Diskontní sazba</v>
      </c>
      <c r="D23" s="579">
        <f>D11</f>
        <v>0.05</v>
      </c>
      <c r="E23" s="892">
        <f>AC11*1/(1+$D$11)</f>
        <v>0.2953027716977619</v>
      </c>
      <c r="F23" s="601">
        <f>E23*1/(1+$D$11)</f>
        <v>0.2812407349502494</v>
      </c>
      <c r="G23" s="601">
        <f aca="true" t="shared" si="21" ref="G23:S23">F23*1/(1+$D$11)</f>
        <v>0.26784831900023753</v>
      </c>
      <c r="H23" s="601">
        <f t="shared" si="21"/>
        <v>0.25509363714308336</v>
      </c>
      <c r="I23" s="601">
        <f t="shared" si="21"/>
        <v>0.2429463210886508</v>
      </c>
      <c r="J23" s="601">
        <f t="shared" si="21"/>
        <v>0.2313774486558579</v>
      </c>
      <c r="K23" s="601">
        <f t="shared" si="21"/>
        <v>0.22035947491034086</v>
      </c>
      <c r="L23" s="601">
        <f t="shared" si="21"/>
        <v>0.209866166581277</v>
      </c>
      <c r="M23" s="601">
        <f t="shared" si="21"/>
        <v>0.19987253960121618</v>
      </c>
      <c r="N23" s="601">
        <f t="shared" si="21"/>
        <v>0.19035479962020588</v>
      </c>
      <c r="O23" s="601">
        <f t="shared" si="21"/>
        <v>0.18129028535257702</v>
      </c>
      <c r="P23" s="601">
        <f t="shared" si="21"/>
        <v>0.17265741462150191</v>
      </c>
      <c r="Q23" s="601">
        <f t="shared" si="21"/>
        <v>0.16443563297285896</v>
      </c>
      <c r="R23" s="601">
        <f t="shared" si="21"/>
        <v>0.15660536473605616</v>
      </c>
      <c r="S23" s="601">
        <f t="shared" si="21"/>
        <v>0.14914796641529157</v>
      </c>
      <c r="T23" s="601">
        <f aca="true" t="shared" si="22" ref="T23:AC23">S23*1/(1+$D$11)</f>
        <v>0.14204568230027767</v>
      </c>
      <c r="U23" s="601">
        <f t="shared" si="22"/>
        <v>0.13528160219074065</v>
      </c>
      <c r="V23" s="601">
        <f t="shared" si="22"/>
        <v>0.1288396211340387</v>
      </c>
      <c r="W23" s="601">
        <f t="shared" si="22"/>
        <v>0.12270440108003686</v>
      </c>
      <c r="X23" s="601">
        <f t="shared" si="22"/>
        <v>0.11686133436193986</v>
      </c>
      <c r="Y23" s="601">
        <f t="shared" si="22"/>
        <v>0.1112965089161332</v>
      </c>
      <c r="Z23" s="601">
        <f t="shared" si="22"/>
        <v>0.10599667515822209</v>
      </c>
      <c r="AA23" s="601">
        <f t="shared" si="22"/>
        <v>0.10094921443640198</v>
      </c>
      <c r="AB23" s="601">
        <f t="shared" si="22"/>
        <v>0.0961421089870495</v>
      </c>
      <c r="AC23" s="893">
        <f t="shared" si="22"/>
        <v>0.09156391332099952</v>
      </c>
    </row>
    <row r="24" spans="2:29" ht="12.75" thickBot="1">
      <c r="B24" s="690"/>
      <c r="C24" s="602" t="str">
        <f t="shared" si="14"/>
        <v>Diskontované cash flow</v>
      </c>
      <c r="D24" s="605"/>
      <c r="E24" s="894">
        <f aca="true" t="shared" si="23" ref="E24:S24">E22*E23</f>
        <v>0</v>
      </c>
      <c r="F24" s="585">
        <f t="shared" si="23"/>
        <v>0</v>
      </c>
      <c r="G24" s="585">
        <f t="shared" si="23"/>
        <v>0</v>
      </c>
      <c r="H24" s="585">
        <f t="shared" si="23"/>
        <v>0</v>
      </c>
      <c r="I24" s="585" t="e">
        <f t="shared" si="23"/>
        <v>#DIV/0!</v>
      </c>
      <c r="J24" s="585">
        <f t="shared" si="23"/>
        <v>0</v>
      </c>
      <c r="K24" s="585">
        <f t="shared" si="23"/>
        <v>0</v>
      </c>
      <c r="L24" s="585">
        <f t="shared" si="23"/>
        <v>0</v>
      </c>
      <c r="M24" s="585">
        <f t="shared" si="23"/>
        <v>0</v>
      </c>
      <c r="N24" s="585">
        <f t="shared" si="23"/>
        <v>0</v>
      </c>
      <c r="O24" s="585">
        <f t="shared" si="23"/>
        <v>0</v>
      </c>
      <c r="P24" s="585">
        <f t="shared" si="23"/>
        <v>0</v>
      </c>
      <c r="Q24" s="585">
        <f t="shared" si="23"/>
        <v>0</v>
      </c>
      <c r="R24" s="585">
        <f t="shared" si="23"/>
        <v>0</v>
      </c>
      <c r="S24" s="585">
        <f t="shared" si="23"/>
        <v>0</v>
      </c>
      <c r="T24" s="585">
        <f aca="true" t="shared" si="24" ref="T24:AC24">T22*T23</f>
        <v>0</v>
      </c>
      <c r="U24" s="585">
        <f t="shared" si="24"/>
        <v>0</v>
      </c>
      <c r="V24" s="585">
        <f t="shared" si="24"/>
        <v>0</v>
      </c>
      <c r="W24" s="585">
        <f t="shared" si="24"/>
        <v>0</v>
      </c>
      <c r="X24" s="585">
        <f t="shared" si="24"/>
        <v>0</v>
      </c>
      <c r="Y24" s="585">
        <f t="shared" si="24"/>
        <v>0</v>
      </c>
      <c r="Z24" s="585">
        <f t="shared" si="24"/>
        <v>0</v>
      </c>
      <c r="AA24" s="585">
        <f t="shared" si="24"/>
        <v>0</v>
      </c>
      <c r="AB24" s="585">
        <f t="shared" si="24"/>
        <v>0</v>
      </c>
      <c r="AC24" s="586">
        <f t="shared" si="24"/>
        <v>0</v>
      </c>
    </row>
    <row r="25" ht="17.25" customHeight="1" thickBot="1"/>
    <row r="26" spans="2:15" s="541" customFormat="1" ht="13.5" thickBot="1">
      <c r="B26" s="864" t="s">
        <v>156</v>
      </c>
      <c r="C26" s="895"/>
      <c r="D26" s="895"/>
      <c r="E26" s="920" t="e">
        <f>ROUND(IRR((E10:AC10,E22:AC22),0.05),4)</f>
        <v>#VALUE!</v>
      </c>
      <c r="G26" s="896">
        <f>IF('8 Finanční struktura'!AD11="OK","","CHYBA!")</f>
      </c>
      <c r="I26" s="547"/>
      <c r="J26" s="547"/>
      <c r="K26" s="547"/>
      <c r="L26" s="547"/>
      <c r="M26" s="547"/>
      <c r="N26" s="548"/>
      <c r="O26" s="548"/>
    </row>
    <row r="27" spans="2:15" s="541" customFormat="1" ht="13.5" thickBot="1">
      <c r="B27" s="867" t="s">
        <v>157</v>
      </c>
      <c r="C27" s="884"/>
      <c r="D27" s="884"/>
      <c r="E27" s="605" t="e">
        <f>SUM(E12:AC12,E24:AC24)</f>
        <v>#DIV/0!</v>
      </c>
      <c r="G27" s="549"/>
      <c r="H27" s="549"/>
      <c r="I27" s="549"/>
      <c r="J27" s="549"/>
      <c r="K27" s="549"/>
      <c r="L27" s="549"/>
      <c r="M27" s="549"/>
      <c r="N27" s="550"/>
      <c r="O27" s="550"/>
    </row>
    <row r="28" spans="2:5" ht="13.5" thickBot="1">
      <c r="B28" s="867" t="s">
        <v>158</v>
      </c>
      <c r="C28" s="884"/>
      <c r="D28" s="884"/>
      <c r="E28" s="605" t="e">
        <f>E27/'0 Úvod'!N19</f>
        <v>#DIV/0!</v>
      </c>
    </row>
    <row r="29" spans="2:3" ht="12" thickBot="1">
      <c r="B29" s="70"/>
      <c r="C29" s="899"/>
    </row>
    <row r="30" spans="2:4" ht="11.25">
      <c r="B30" s="956" t="s">
        <v>77</v>
      </c>
      <c r="C30" s="957"/>
      <c r="D30" s="958"/>
    </row>
    <row r="31" spans="2:9" ht="12" thickBot="1">
      <c r="B31" s="1021"/>
      <c r="C31" s="1022"/>
      <c r="D31" s="1023"/>
      <c r="I31" s="551"/>
    </row>
    <row r="32" spans="2:4" ht="12.75" thickBot="1">
      <c r="B32" s="809" t="s">
        <v>193</v>
      </c>
      <c r="C32" s="536"/>
      <c r="D32" s="810"/>
    </row>
    <row r="34" ht="11.25">
      <c r="I34" s="55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1">
    <mergeCell ref="J2:J3"/>
    <mergeCell ref="L2:L3"/>
    <mergeCell ref="I2:I3"/>
    <mergeCell ref="K2:K3"/>
    <mergeCell ref="B30:D31"/>
    <mergeCell ref="P14:P15"/>
    <mergeCell ref="E14:E15"/>
    <mergeCell ref="F14:F15"/>
    <mergeCell ref="G14:G15"/>
    <mergeCell ref="H14:H15"/>
    <mergeCell ref="J14:J15"/>
    <mergeCell ref="K14:K15"/>
    <mergeCell ref="I14:I15"/>
    <mergeCell ref="O14:O15"/>
    <mergeCell ref="G2:G3"/>
    <mergeCell ref="X14:X15"/>
    <mergeCell ref="O2:O3"/>
    <mergeCell ref="X2:X3"/>
    <mergeCell ref="L14:L15"/>
    <mergeCell ref="M14:M15"/>
    <mergeCell ref="N14:N15"/>
    <mergeCell ref="W14:W15"/>
    <mergeCell ref="W2:W3"/>
    <mergeCell ref="M2:M3"/>
    <mergeCell ref="N2:N3"/>
    <mergeCell ref="T14:T15"/>
    <mergeCell ref="P2:P3"/>
    <mergeCell ref="Q2:Q3"/>
    <mergeCell ref="R2:R3"/>
    <mergeCell ref="R14:R15"/>
    <mergeCell ref="Q14:Q15"/>
    <mergeCell ref="AB14:AB15"/>
    <mergeCell ref="E2:E3"/>
    <mergeCell ref="T2:T3"/>
    <mergeCell ref="U2:U3"/>
    <mergeCell ref="V2:V3"/>
    <mergeCell ref="U14:U15"/>
    <mergeCell ref="V14:V15"/>
    <mergeCell ref="S2:S3"/>
    <mergeCell ref="S14:S15"/>
    <mergeCell ref="F2:F3"/>
    <mergeCell ref="H2:H3"/>
    <mergeCell ref="AC14:AC15"/>
    <mergeCell ref="Y2:Y3"/>
    <mergeCell ref="Z2:Z3"/>
    <mergeCell ref="AA2:AA3"/>
    <mergeCell ref="AB2:AB3"/>
    <mergeCell ref="AC2:AC3"/>
    <mergeCell ref="Y14:Y15"/>
    <mergeCell ref="Z14:Z15"/>
    <mergeCell ref="AA14:AA15"/>
  </mergeCells>
  <conditionalFormatting sqref="G2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2"/>
  <headerFooter alignWithMargins="0">
    <oddFooter>&amp;L&amp;A&amp;C15.9.2010</oddFooter>
  </headerFooter>
  <ignoredErrors>
    <ignoredError sqref="D6" formula="1"/>
    <ignoredError sqref="E26" evalError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921" t="s">
        <v>318</v>
      </c>
    </row>
    <row r="2" ht="12.75">
      <c r="A2" s="922"/>
    </row>
    <row r="3" ht="12.75">
      <c r="A3" s="923" t="s">
        <v>319</v>
      </c>
    </row>
    <row r="4" ht="12.75">
      <c r="A4" s="923" t="s">
        <v>320</v>
      </c>
    </row>
    <row r="5" ht="12.75">
      <c r="A5" s="923" t="s">
        <v>321</v>
      </c>
    </row>
    <row r="6" ht="12.75">
      <c r="A6" s="923" t="s">
        <v>323</v>
      </c>
    </row>
    <row r="7" ht="12.75">
      <c r="A7" s="923" t="s">
        <v>324</v>
      </c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71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.7109375" style="70" customWidth="1"/>
    <col min="3" max="3" width="41.140625" style="70" customWidth="1"/>
    <col min="4" max="4" width="13.7109375" style="70" customWidth="1"/>
    <col min="5" max="5" width="10.7109375" style="70" customWidth="1"/>
    <col min="6" max="6" width="18.57421875" style="70" customWidth="1"/>
    <col min="7" max="11" width="10.7109375" style="70" customWidth="1"/>
    <col min="12" max="12" width="10.7109375" style="107" customWidth="1"/>
    <col min="13" max="31" width="10.7109375" style="70" customWidth="1"/>
    <col min="32" max="16384" width="9.140625" style="70" customWidth="1"/>
  </cols>
  <sheetData>
    <row r="1" spans="2:21" ht="12" thickBot="1">
      <c r="B1" s="71"/>
      <c r="C1" s="71"/>
      <c r="D1" s="71"/>
      <c r="E1" s="72"/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1" ht="12.75">
      <c r="A2" s="75"/>
      <c r="B2" s="108" t="s">
        <v>16</v>
      </c>
      <c r="C2" s="109" t="s">
        <v>67</v>
      </c>
      <c r="D2" s="109"/>
      <c r="E2" s="109"/>
      <c r="F2" s="110"/>
      <c r="G2" s="131" t="s">
        <v>71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</row>
    <row r="3" spans="2:31" ht="12.75" customHeight="1" thickBot="1">
      <c r="B3" s="111" t="s">
        <v>25</v>
      </c>
      <c r="C3" s="112" t="s">
        <v>167</v>
      </c>
      <c r="D3" s="955"/>
      <c r="E3" s="955"/>
      <c r="F3" s="964" t="s">
        <v>70</v>
      </c>
      <c r="G3" s="134">
        <f>'0 Úvod'!G19</f>
        <v>2014</v>
      </c>
      <c r="H3" s="135">
        <f>G3+1</f>
        <v>2015</v>
      </c>
      <c r="I3" s="135">
        <f aca="true" t="shared" si="0" ref="I3:U3">H3+1</f>
        <v>2016</v>
      </c>
      <c r="J3" s="135">
        <f t="shared" si="0"/>
        <v>2017</v>
      </c>
      <c r="K3" s="135">
        <f t="shared" si="0"/>
        <v>2018</v>
      </c>
      <c r="L3" s="135">
        <f t="shared" si="0"/>
        <v>2019</v>
      </c>
      <c r="M3" s="135">
        <f t="shared" si="0"/>
        <v>2020</v>
      </c>
      <c r="N3" s="135">
        <f t="shared" si="0"/>
        <v>2021</v>
      </c>
      <c r="O3" s="135">
        <f t="shared" si="0"/>
        <v>2022</v>
      </c>
      <c r="P3" s="135">
        <f t="shared" si="0"/>
        <v>2023</v>
      </c>
      <c r="Q3" s="135">
        <f t="shared" si="0"/>
        <v>2024</v>
      </c>
      <c r="R3" s="135">
        <f t="shared" si="0"/>
        <v>2025</v>
      </c>
      <c r="S3" s="135">
        <f t="shared" si="0"/>
        <v>2026</v>
      </c>
      <c r="T3" s="135">
        <f t="shared" si="0"/>
        <v>2027</v>
      </c>
      <c r="U3" s="135">
        <f t="shared" si="0"/>
        <v>2028</v>
      </c>
      <c r="V3" s="135">
        <f aca="true" t="shared" si="1" ref="V3:AE3">U3+1</f>
        <v>2029</v>
      </c>
      <c r="W3" s="135">
        <f t="shared" si="1"/>
        <v>2030</v>
      </c>
      <c r="X3" s="135">
        <f t="shared" si="1"/>
        <v>2031</v>
      </c>
      <c r="Y3" s="135">
        <f t="shared" si="1"/>
        <v>2032</v>
      </c>
      <c r="Z3" s="135">
        <f t="shared" si="1"/>
        <v>2033</v>
      </c>
      <c r="AA3" s="135">
        <f t="shared" si="1"/>
        <v>2034</v>
      </c>
      <c r="AB3" s="135">
        <f t="shared" si="1"/>
        <v>2035</v>
      </c>
      <c r="AC3" s="135">
        <f t="shared" si="1"/>
        <v>2036</v>
      </c>
      <c r="AD3" s="135">
        <f t="shared" si="1"/>
        <v>2037</v>
      </c>
      <c r="AE3" s="136">
        <f t="shared" si="1"/>
        <v>2038</v>
      </c>
    </row>
    <row r="4" spans="2:31" ht="12.75" customHeight="1" thickBot="1">
      <c r="B4" s="113"/>
      <c r="C4" s="114">
        <f>'0 Úvod'!D19</f>
        <v>2014</v>
      </c>
      <c r="D4" s="955"/>
      <c r="E4" s="955"/>
      <c r="F4" s="965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8"/>
    </row>
    <row r="5" spans="2:31" ht="12">
      <c r="B5" s="115"/>
      <c r="C5" s="116" t="s">
        <v>68</v>
      </c>
      <c r="D5" s="117"/>
      <c r="E5" s="117"/>
      <c r="F5" s="118">
        <f aca="true" t="shared" si="2" ref="F5:F15">SUM(G5:AE5,G20:AE20)</f>
        <v>0</v>
      </c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8"/>
    </row>
    <row r="6" spans="2:31" ht="12">
      <c r="B6" s="119"/>
      <c r="C6" s="120" t="s">
        <v>305</v>
      </c>
      <c r="D6" s="121"/>
      <c r="E6" s="121"/>
      <c r="F6" s="122">
        <f t="shared" si="2"/>
        <v>0</v>
      </c>
      <c r="G6" s="8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</row>
    <row r="7" spans="2:31" ht="12">
      <c r="B7" s="119"/>
      <c r="C7" s="120" t="s">
        <v>312</v>
      </c>
      <c r="D7" s="121"/>
      <c r="E7" s="121"/>
      <c r="F7" s="122">
        <f t="shared" si="2"/>
        <v>0</v>
      </c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</row>
    <row r="8" spans="2:31" ht="12">
      <c r="B8" s="119"/>
      <c r="C8" s="120" t="s">
        <v>69</v>
      </c>
      <c r="D8" s="121"/>
      <c r="E8" s="121"/>
      <c r="F8" s="122">
        <f t="shared" si="2"/>
        <v>0</v>
      </c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</row>
    <row r="9" spans="2:31" ht="12">
      <c r="B9" s="119"/>
      <c r="C9" s="120" t="s">
        <v>238</v>
      </c>
      <c r="D9" s="121"/>
      <c r="E9" s="121"/>
      <c r="F9" s="122">
        <f t="shared" si="2"/>
        <v>0</v>
      </c>
      <c r="G9" s="8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</row>
    <row r="10" spans="2:31" ht="12">
      <c r="B10" s="123"/>
      <c r="C10" s="124" t="s">
        <v>239</v>
      </c>
      <c r="D10" s="125"/>
      <c r="E10" s="125"/>
      <c r="F10" s="122">
        <f t="shared" si="2"/>
        <v>0</v>
      </c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</row>
    <row r="11" spans="2:31" ht="12">
      <c r="B11" s="126"/>
      <c r="C11" s="127" t="s">
        <v>174</v>
      </c>
      <c r="D11" s="128"/>
      <c r="E11" s="128"/>
      <c r="F11" s="129">
        <f t="shared" si="2"/>
        <v>0</v>
      </c>
      <c r="G11" s="139">
        <f aca="true" t="shared" si="3" ref="G11:U11">SUM(G5:G10)</f>
        <v>0</v>
      </c>
      <c r="H11" s="140">
        <f t="shared" si="3"/>
        <v>0</v>
      </c>
      <c r="I11" s="140">
        <f t="shared" si="3"/>
        <v>0</v>
      </c>
      <c r="J11" s="140">
        <f t="shared" si="3"/>
        <v>0</v>
      </c>
      <c r="K11" s="140">
        <f t="shared" si="3"/>
        <v>0</v>
      </c>
      <c r="L11" s="140">
        <f t="shared" si="3"/>
        <v>0</v>
      </c>
      <c r="M11" s="140">
        <f t="shared" si="3"/>
        <v>0</v>
      </c>
      <c r="N11" s="140">
        <f t="shared" si="3"/>
        <v>0</v>
      </c>
      <c r="O11" s="140">
        <f t="shared" si="3"/>
        <v>0</v>
      </c>
      <c r="P11" s="140">
        <f t="shared" si="3"/>
        <v>0</v>
      </c>
      <c r="Q11" s="140">
        <f t="shared" si="3"/>
        <v>0</v>
      </c>
      <c r="R11" s="140">
        <f t="shared" si="3"/>
        <v>0</v>
      </c>
      <c r="S11" s="140">
        <f t="shared" si="3"/>
        <v>0</v>
      </c>
      <c r="T11" s="140">
        <f t="shared" si="3"/>
        <v>0</v>
      </c>
      <c r="U11" s="140">
        <f t="shared" si="3"/>
        <v>0</v>
      </c>
      <c r="V11" s="140">
        <f aca="true" t="shared" si="4" ref="V11:AE11">SUM(V5:V10)</f>
        <v>0</v>
      </c>
      <c r="W11" s="140">
        <f t="shared" si="4"/>
        <v>0</v>
      </c>
      <c r="X11" s="140">
        <f t="shared" si="4"/>
        <v>0</v>
      </c>
      <c r="Y11" s="140">
        <f t="shared" si="4"/>
        <v>0</v>
      </c>
      <c r="Z11" s="140">
        <f t="shared" si="4"/>
        <v>0</v>
      </c>
      <c r="AA11" s="140">
        <f t="shared" si="4"/>
        <v>0</v>
      </c>
      <c r="AB11" s="140">
        <f t="shared" si="4"/>
        <v>0</v>
      </c>
      <c r="AC11" s="140">
        <f t="shared" si="4"/>
        <v>0</v>
      </c>
      <c r="AD11" s="140">
        <f t="shared" si="4"/>
        <v>0</v>
      </c>
      <c r="AE11" s="141">
        <f t="shared" si="4"/>
        <v>0</v>
      </c>
    </row>
    <row r="12" spans="2:31" ht="12">
      <c r="B12" s="119"/>
      <c r="C12" s="120" t="s">
        <v>175</v>
      </c>
      <c r="D12" s="121"/>
      <c r="E12" s="121"/>
      <c r="F12" s="130">
        <f t="shared" si="2"/>
        <v>0</v>
      </c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4"/>
    </row>
    <row r="13" spans="2:31" ht="12">
      <c r="B13" s="126"/>
      <c r="C13" s="127" t="s">
        <v>176</v>
      </c>
      <c r="D13" s="128"/>
      <c r="E13" s="128"/>
      <c r="F13" s="129">
        <f t="shared" si="2"/>
        <v>0</v>
      </c>
      <c r="G13" s="139">
        <f>SUM(G11:G12)</f>
        <v>0</v>
      </c>
      <c r="H13" s="140">
        <f>SUM(H11:H12)</f>
        <v>0</v>
      </c>
      <c r="I13" s="140">
        <f aca="true" t="shared" si="5" ref="I13:T13">SUM(I11:I12)</f>
        <v>0</v>
      </c>
      <c r="J13" s="140">
        <f t="shared" si="5"/>
        <v>0</v>
      </c>
      <c r="K13" s="140">
        <f t="shared" si="5"/>
        <v>0</v>
      </c>
      <c r="L13" s="140">
        <f t="shared" si="5"/>
        <v>0</v>
      </c>
      <c r="M13" s="140">
        <f t="shared" si="5"/>
        <v>0</v>
      </c>
      <c r="N13" s="140">
        <f t="shared" si="5"/>
        <v>0</v>
      </c>
      <c r="O13" s="140">
        <f t="shared" si="5"/>
        <v>0</v>
      </c>
      <c r="P13" s="140">
        <f t="shared" si="5"/>
        <v>0</v>
      </c>
      <c r="Q13" s="140">
        <f t="shared" si="5"/>
        <v>0</v>
      </c>
      <c r="R13" s="140">
        <f t="shared" si="5"/>
        <v>0</v>
      </c>
      <c r="S13" s="140">
        <f t="shared" si="5"/>
        <v>0</v>
      </c>
      <c r="T13" s="140">
        <f t="shared" si="5"/>
        <v>0</v>
      </c>
      <c r="U13" s="140">
        <f>SUM(U11:U12)</f>
        <v>0</v>
      </c>
      <c r="V13" s="140">
        <f aca="true" t="shared" si="6" ref="V13:AE13">SUM(V11:V12)</f>
        <v>0</v>
      </c>
      <c r="W13" s="140">
        <f t="shared" si="6"/>
        <v>0</v>
      </c>
      <c r="X13" s="140">
        <f t="shared" si="6"/>
        <v>0</v>
      </c>
      <c r="Y13" s="140">
        <f t="shared" si="6"/>
        <v>0</v>
      </c>
      <c r="Z13" s="140">
        <f t="shared" si="6"/>
        <v>0</v>
      </c>
      <c r="AA13" s="140">
        <f t="shared" si="6"/>
        <v>0</v>
      </c>
      <c r="AB13" s="140">
        <f t="shared" si="6"/>
        <v>0</v>
      </c>
      <c r="AC13" s="140">
        <f t="shared" si="6"/>
        <v>0</v>
      </c>
      <c r="AD13" s="140">
        <f t="shared" si="6"/>
        <v>0</v>
      </c>
      <c r="AE13" s="141">
        <f t="shared" si="6"/>
        <v>0</v>
      </c>
    </row>
    <row r="14" spans="2:31" ht="12.75" thickBot="1">
      <c r="B14" s="88"/>
      <c r="C14" s="89">
        <f>'0 Úvod'!$N$21*1000</f>
        <v>210</v>
      </c>
      <c r="D14" s="90"/>
      <c r="E14" s="80"/>
      <c r="F14" s="81">
        <f t="shared" si="2"/>
        <v>0</v>
      </c>
      <c r="G14" s="91">
        <f>G13*$C14/1000</f>
        <v>0</v>
      </c>
      <c r="H14" s="92">
        <f>H13*$C14/1000</f>
        <v>0</v>
      </c>
      <c r="I14" s="92">
        <f aca="true" t="shared" si="7" ref="I14:T14">I13*$C14/1000</f>
        <v>0</v>
      </c>
      <c r="J14" s="92">
        <f t="shared" si="7"/>
        <v>0</v>
      </c>
      <c r="K14" s="92">
        <f t="shared" si="7"/>
        <v>0</v>
      </c>
      <c r="L14" s="92">
        <f t="shared" si="7"/>
        <v>0</v>
      </c>
      <c r="M14" s="92">
        <f t="shared" si="7"/>
        <v>0</v>
      </c>
      <c r="N14" s="92">
        <f t="shared" si="7"/>
        <v>0</v>
      </c>
      <c r="O14" s="92">
        <f t="shared" si="7"/>
        <v>0</v>
      </c>
      <c r="P14" s="92">
        <f t="shared" si="7"/>
        <v>0</v>
      </c>
      <c r="Q14" s="92">
        <f t="shared" si="7"/>
        <v>0</v>
      </c>
      <c r="R14" s="92">
        <f t="shared" si="7"/>
        <v>0</v>
      </c>
      <c r="S14" s="92">
        <f t="shared" si="7"/>
        <v>0</v>
      </c>
      <c r="T14" s="92">
        <f t="shared" si="7"/>
        <v>0</v>
      </c>
      <c r="U14" s="92">
        <f>U13*$C14/1000</f>
        <v>0</v>
      </c>
      <c r="V14" s="92">
        <f aca="true" t="shared" si="8" ref="V14:AE14">V13*$C14/1000</f>
        <v>0</v>
      </c>
      <c r="W14" s="92">
        <f t="shared" si="8"/>
        <v>0</v>
      </c>
      <c r="X14" s="92">
        <f t="shared" si="8"/>
        <v>0</v>
      </c>
      <c r="Y14" s="92">
        <f t="shared" si="8"/>
        <v>0</v>
      </c>
      <c r="Z14" s="92">
        <f t="shared" si="8"/>
        <v>0</v>
      </c>
      <c r="AA14" s="92">
        <f t="shared" si="8"/>
        <v>0</v>
      </c>
      <c r="AB14" s="92">
        <f t="shared" si="8"/>
        <v>0</v>
      </c>
      <c r="AC14" s="92">
        <f t="shared" si="8"/>
        <v>0</v>
      </c>
      <c r="AD14" s="92">
        <f t="shared" si="8"/>
        <v>0</v>
      </c>
      <c r="AE14" s="94">
        <f t="shared" si="8"/>
        <v>0</v>
      </c>
    </row>
    <row r="15" spans="2:31" ht="12.75" thickBot="1">
      <c r="B15" s="142"/>
      <c r="C15" s="143" t="s">
        <v>169</v>
      </c>
      <c r="D15" s="144"/>
      <c r="E15" s="144"/>
      <c r="F15" s="145">
        <f t="shared" si="2"/>
        <v>0</v>
      </c>
      <c r="G15" s="146">
        <f>G14+G13</f>
        <v>0</v>
      </c>
      <c r="H15" s="147">
        <f>H14+H13</f>
        <v>0</v>
      </c>
      <c r="I15" s="147">
        <f aca="true" t="shared" si="9" ref="I15:T15">I14+I13</f>
        <v>0</v>
      </c>
      <c r="J15" s="147">
        <f t="shared" si="9"/>
        <v>0</v>
      </c>
      <c r="K15" s="147">
        <f t="shared" si="9"/>
        <v>0</v>
      </c>
      <c r="L15" s="147">
        <f t="shared" si="9"/>
        <v>0</v>
      </c>
      <c r="M15" s="147">
        <f t="shared" si="9"/>
        <v>0</v>
      </c>
      <c r="N15" s="147">
        <f t="shared" si="9"/>
        <v>0</v>
      </c>
      <c r="O15" s="147">
        <f t="shared" si="9"/>
        <v>0</v>
      </c>
      <c r="P15" s="147">
        <f t="shared" si="9"/>
        <v>0</v>
      </c>
      <c r="Q15" s="147">
        <f t="shared" si="9"/>
        <v>0</v>
      </c>
      <c r="R15" s="147">
        <f t="shared" si="9"/>
        <v>0</v>
      </c>
      <c r="S15" s="147">
        <f t="shared" si="9"/>
        <v>0</v>
      </c>
      <c r="T15" s="147">
        <f t="shared" si="9"/>
        <v>0</v>
      </c>
      <c r="U15" s="147">
        <f>U14+U13</f>
        <v>0</v>
      </c>
      <c r="V15" s="147">
        <f aca="true" t="shared" si="10" ref="V15:AE15">V14+V13</f>
        <v>0</v>
      </c>
      <c r="W15" s="147">
        <f t="shared" si="10"/>
        <v>0</v>
      </c>
      <c r="X15" s="147">
        <f t="shared" si="10"/>
        <v>0</v>
      </c>
      <c r="Y15" s="147">
        <f t="shared" si="10"/>
        <v>0</v>
      </c>
      <c r="Z15" s="147">
        <f t="shared" si="10"/>
        <v>0</v>
      </c>
      <c r="AA15" s="147">
        <f t="shared" si="10"/>
        <v>0</v>
      </c>
      <c r="AB15" s="147">
        <f t="shared" si="10"/>
        <v>0</v>
      </c>
      <c r="AC15" s="147">
        <f t="shared" si="10"/>
        <v>0</v>
      </c>
      <c r="AD15" s="147">
        <f t="shared" si="10"/>
        <v>0</v>
      </c>
      <c r="AE15" s="148">
        <f t="shared" si="10"/>
        <v>0</v>
      </c>
    </row>
    <row r="16" spans="2:31" ht="12" thickBot="1">
      <c r="B16" s="71"/>
      <c r="C16" s="71"/>
      <c r="D16" s="71"/>
      <c r="E16" s="72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2:31" ht="12.75">
      <c r="B17" s="108" t="s">
        <v>16</v>
      </c>
      <c r="C17" s="109" t="s">
        <v>67</v>
      </c>
      <c r="D17" s="109"/>
      <c r="E17" s="109"/>
      <c r="F17" s="110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3"/>
    </row>
    <row r="18" spans="2:31" ht="13.5" thickBot="1">
      <c r="B18" s="111" t="s">
        <v>26</v>
      </c>
      <c r="C18" s="112" t="s">
        <v>167</v>
      </c>
      <c r="D18" s="955"/>
      <c r="E18" s="955"/>
      <c r="F18" s="962"/>
      <c r="G18" s="134">
        <f>AE3+1</f>
        <v>2039</v>
      </c>
      <c r="H18" s="135">
        <f>G18+1</f>
        <v>2040</v>
      </c>
      <c r="I18" s="135">
        <f aca="true" t="shared" si="11" ref="I18:U18">H18+1</f>
        <v>2041</v>
      </c>
      <c r="J18" s="135">
        <f t="shared" si="11"/>
        <v>2042</v>
      </c>
      <c r="K18" s="135">
        <f t="shared" si="11"/>
        <v>2043</v>
      </c>
      <c r="L18" s="135">
        <f t="shared" si="11"/>
        <v>2044</v>
      </c>
      <c r="M18" s="135">
        <f t="shared" si="11"/>
        <v>2045</v>
      </c>
      <c r="N18" s="135">
        <f t="shared" si="11"/>
        <v>2046</v>
      </c>
      <c r="O18" s="135">
        <f t="shared" si="11"/>
        <v>2047</v>
      </c>
      <c r="P18" s="135">
        <f t="shared" si="11"/>
        <v>2048</v>
      </c>
      <c r="Q18" s="135">
        <f t="shared" si="11"/>
        <v>2049</v>
      </c>
      <c r="R18" s="135">
        <f t="shared" si="11"/>
        <v>2050</v>
      </c>
      <c r="S18" s="135">
        <f t="shared" si="11"/>
        <v>2051</v>
      </c>
      <c r="T18" s="135">
        <f t="shared" si="11"/>
        <v>2052</v>
      </c>
      <c r="U18" s="135">
        <f t="shared" si="11"/>
        <v>2053</v>
      </c>
      <c r="V18" s="135">
        <f aca="true" t="shared" si="12" ref="V18:AE18">U18+1</f>
        <v>2054</v>
      </c>
      <c r="W18" s="135">
        <f t="shared" si="12"/>
        <v>2055</v>
      </c>
      <c r="X18" s="135">
        <f t="shared" si="12"/>
        <v>2056</v>
      </c>
      <c r="Y18" s="135">
        <f t="shared" si="12"/>
        <v>2057</v>
      </c>
      <c r="Z18" s="135">
        <f t="shared" si="12"/>
        <v>2058</v>
      </c>
      <c r="AA18" s="135">
        <f t="shared" si="12"/>
        <v>2059</v>
      </c>
      <c r="AB18" s="135">
        <f t="shared" si="12"/>
        <v>2060</v>
      </c>
      <c r="AC18" s="135">
        <f t="shared" si="12"/>
        <v>2061</v>
      </c>
      <c r="AD18" s="135">
        <f t="shared" si="12"/>
        <v>2062</v>
      </c>
      <c r="AE18" s="136">
        <f t="shared" si="12"/>
        <v>2063</v>
      </c>
    </row>
    <row r="19" spans="2:31" ht="12.75" thickBot="1">
      <c r="B19" s="113"/>
      <c r="C19" s="114">
        <f>'0 Úvod'!D19</f>
        <v>2014</v>
      </c>
      <c r="D19" s="955"/>
      <c r="E19" s="955"/>
      <c r="F19" s="962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50"/>
    </row>
    <row r="20" spans="2:31" ht="12">
      <c r="B20" s="115"/>
      <c r="C20" s="116" t="str">
        <f aca="true" t="shared" si="13" ref="C20:C25">C5</f>
        <v>Přípravná a projektová dokumentace</v>
      </c>
      <c r="D20" s="117"/>
      <c r="E20" s="117"/>
      <c r="F20" s="15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</row>
    <row r="21" spans="2:31" ht="12">
      <c r="B21" s="119"/>
      <c r="C21" s="120" t="str">
        <f t="shared" si="13"/>
        <v>Zábory a nákupy pozemků</v>
      </c>
      <c r="D21" s="121"/>
      <c r="E21" s="121"/>
      <c r="F21" s="15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</row>
    <row r="22" spans="2:31" ht="12">
      <c r="B22" s="119"/>
      <c r="C22" s="120" t="str">
        <f t="shared" si="13"/>
        <v>Stavby a konstrukce (stavební náklady)</v>
      </c>
      <c r="D22" s="121"/>
      <c r="E22" s="121"/>
      <c r="F22" s="15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</row>
    <row r="23" spans="2:31" ht="12">
      <c r="B23" s="119"/>
      <c r="C23" s="120" t="str">
        <f t="shared" si="13"/>
        <v>Stroje a zařízení</v>
      </c>
      <c r="D23" s="121"/>
      <c r="E23" s="121"/>
      <c r="F23" s="15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</row>
    <row r="24" spans="2:31" ht="12">
      <c r="B24" s="119"/>
      <c r="C24" s="120" t="str">
        <f t="shared" si="13"/>
        <v>Technická asistence, propagace</v>
      </c>
      <c r="D24" s="121"/>
      <c r="E24" s="121"/>
      <c r="F24" s="15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</row>
    <row r="25" spans="2:31" ht="12">
      <c r="B25" s="123"/>
      <c r="C25" s="124" t="str">
        <f t="shared" si="13"/>
        <v>Technický dozor</v>
      </c>
      <c r="D25" s="125"/>
      <c r="E25" s="125"/>
      <c r="F25" s="153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</row>
    <row r="26" spans="2:31" ht="12">
      <c r="B26" s="126"/>
      <c r="C26" s="127" t="s">
        <v>174</v>
      </c>
      <c r="D26" s="128"/>
      <c r="E26" s="128"/>
      <c r="F26" s="154"/>
      <c r="G26" s="139">
        <f aca="true" t="shared" si="14" ref="G26:U26">SUM(G20:G25)</f>
        <v>0</v>
      </c>
      <c r="H26" s="140">
        <f t="shared" si="14"/>
        <v>0</v>
      </c>
      <c r="I26" s="140">
        <f t="shared" si="14"/>
        <v>0</v>
      </c>
      <c r="J26" s="140">
        <f t="shared" si="14"/>
        <v>0</v>
      </c>
      <c r="K26" s="140">
        <f t="shared" si="14"/>
        <v>0</v>
      </c>
      <c r="L26" s="140">
        <f t="shared" si="14"/>
        <v>0</v>
      </c>
      <c r="M26" s="140">
        <f t="shared" si="14"/>
        <v>0</v>
      </c>
      <c r="N26" s="140">
        <f t="shared" si="14"/>
        <v>0</v>
      </c>
      <c r="O26" s="140">
        <f t="shared" si="14"/>
        <v>0</v>
      </c>
      <c r="P26" s="140">
        <f t="shared" si="14"/>
        <v>0</v>
      </c>
      <c r="Q26" s="140">
        <f t="shared" si="14"/>
        <v>0</v>
      </c>
      <c r="R26" s="140">
        <f t="shared" si="14"/>
        <v>0</v>
      </c>
      <c r="S26" s="140">
        <f t="shared" si="14"/>
        <v>0</v>
      </c>
      <c r="T26" s="140">
        <f t="shared" si="14"/>
        <v>0</v>
      </c>
      <c r="U26" s="140">
        <f t="shared" si="14"/>
        <v>0</v>
      </c>
      <c r="V26" s="140">
        <f aca="true" t="shared" si="15" ref="V26:AE26">SUM(V20:V25)</f>
        <v>0</v>
      </c>
      <c r="W26" s="140">
        <f t="shared" si="15"/>
        <v>0</v>
      </c>
      <c r="X26" s="140">
        <f t="shared" si="15"/>
        <v>0</v>
      </c>
      <c r="Y26" s="140">
        <f t="shared" si="15"/>
        <v>0</v>
      </c>
      <c r="Z26" s="140">
        <f t="shared" si="15"/>
        <v>0</v>
      </c>
      <c r="AA26" s="140">
        <f t="shared" si="15"/>
        <v>0</v>
      </c>
      <c r="AB26" s="140">
        <f t="shared" si="15"/>
        <v>0</v>
      </c>
      <c r="AC26" s="140">
        <f t="shared" si="15"/>
        <v>0</v>
      </c>
      <c r="AD26" s="140">
        <f t="shared" si="15"/>
        <v>0</v>
      </c>
      <c r="AE26" s="141">
        <f t="shared" si="15"/>
        <v>0</v>
      </c>
    </row>
    <row r="27" spans="2:31" ht="12">
      <c r="B27" s="119"/>
      <c r="C27" s="120" t="s">
        <v>175</v>
      </c>
      <c r="D27" s="121"/>
      <c r="E27" s="121"/>
      <c r="F27" s="153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4"/>
    </row>
    <row r="28" spans="2:31" ht="12">
      <c r="B28" s="126"/>
      <c r="C28" s="127" t="s">
        <v>176</v>
      </c>
      <c r="D28" s="128"/>
      <c r="E28" s="128"/>
      <c r="F28" s="154"/>
      <c r="G28" s="139">
        <f aca="true" t="shared" si="16" ref="G28:U28">SUM(G26:G27)</f>
        <v>0</v>
      </c>
      <c r="H28" s="140">
        <f t="shared" si="16"/>
        <v>0</v>
      </c>
      <c r="I28" s="140">
        <f t="shared" si="16"/>
        <v>0</v>
      </c>
      <c r="J28" s="140">
        <f t="shared" si="16"/>
        <v>0</v>
      </c>
      <c r="K28" s="140">
        <f t="shared" si="16"/>
        <v>0</v>
      </c>
      <c r="L28" s="140">
        <f t="shared" si="16"/>
        <v>0</v>
      </c>
      <c r="M28" s="140">
        <f t="shared" si="16"/>
        <v>0</v>
      </c>
      <c r="N28" s="140">
        <f t="shared" si="16"/>
        <v>0</v>
      </c>
      <c r="O28" s="140">
        <f t="shared" si="16"/>
        <v>0</v>
      </c>
      <c r="P28" s="140">
        <f t="shared" si="16"/>
        <v>0</v>
      </c>
      <c r="Q28" s="140">
        <f t="shared" si="16"/>
        <v>0</v>
      </c>
      <c r="R28" s="140">
        <f t="shared" si="16"/>
        <v>0</v>
      </c>
      <c r="S28" s="140">
        <f t="shared" si="16"/>
        <v>0</v>
      </c>
      <c r="T28" s="140">
        <f t="shared" si="16"/>
        <v>0</v>
      </c>
      <c r="U28" s="140">
        <f t="shared" si="16"/>
        <v>0</v>
      </c>
      <c r="V28" s="140">
        <f aca="true" t="shared" si="17" ref="V28:AE28">SUM(V26:V27)</f>
        <v>0</v>
      </c>
      <c r="W28" s="140">
        <f t="shared" si="17"/>
        <v>0</v>
      </c>
      <c r="X28" s="140">
        <f t="shared" si="17"/>
        <v>0</v>
      </c>
      <c r="Y28" s="140">
        <f t="shared" si="17"/>
        <v>0</v>
      </c>
      <c r="Z28" s="140">
        <f t="shared" si="17"/>
        <v>0</v>
      </c>
      <c r="AA28" s="140">
        <f t="shared" si="17"/>
        <v>0</v>
      </c>
      <c r="AB28" s="140">
        <f t="shared" si="17"/>
        <v>0</v>
      </c>
      <c r="AC28" s="140">
        <f t="shared" si="17"/>
        <v>0</v>
      </c>
      <c r="AD28" s="140">
        <f t="shared" si="17"/>
        <v>0</v>
      </c>
      <c r="AE28" s="141">
        <f t="shared" si="17"/>
        <v>0</v>
      </c>
    </row>
    <row r="29" spans="2:31" ht="12.75" thickBot="1">
      <c r="B29" s="95"/>
      <c r="C29" s="96">
        <f>'0 Úvod'!$N$21*1000</f>
        <v>210</v>
      </c>
      <c r="D29" s="97"/>
      <c r="E29" s="98"/>
      <c r="F29" s="99"/>
      <c r="G29" s="100">
        <f>G28*$C29/1000</f>
        <v>0</v>
      </c>
      <c r="H29" s="101">
        <f>H28*$C29/1000</f>
        <v>0</v>
      </c>
      <c r="I29" s="101">
        <f aca="true" t="shared" si="18" ref="I29:T29">I28*$C29/1000</f>
        <v>0</v>
      </c>
      <c r="J29" s="101">
        <f t="shared" si="18"/>
        <v>0</v>
      </c>
      <c r="K29" s="101">
        <f t="shared" si="18"/>
        <v>0</v>
      </c>
      <c r="L29" s="101">
        <f t="shared" si="18"/>
        <v>0</v>
      </c>
      <c r="M29" s="101">
        <f t="shared" si="18"/>
        <v>0</v>
      </c>
      <c r="N29" s="101">
        <f t="shared" si="18"/>
        <v>0</v>
      </c>
      <c r="O29" s="101">
        <f t="shared" si="18"/>
        <v>0</v>
      </c>
      <c r="P29" s="101">
        <f t="shared" si="18"/>
        <v>0</v>
      </c>
      <c r="Q29" s="101">
        <f t="shared" si="18"/>
        <v>0</v>
      </c>
      <c r="R29" s="101">
        <f t="shared" si="18"/>
        <v>0</v>
      </c>
      <c r="S29" s="101">
        <f t="shared" si="18"/>
        <v>0</v>
      </c>
      <c r="T29" s="101">
        <f t="shared" si="18"/>
        <v>0</v>
      </c>
      <c r="U29" s="101">
        <f>U28*$C29/1000</f>
        <v>0</v>
      </c>
      <c r="V29" s="101">
        <f aca="true" t="shared" si="19" ref="V29:AE29">V28*$C29/1000</f>
        <v>0</v>
      </c>
      <c r="W29" s="101">
        <f t="shared" si="19"/>
        <v>0</v>
      </c>
      <c r="X29" s="101">
        <f t="shared" si="19"/>
        <v>0</v>
      </c>
      <c r="Y29" s="101">
        <f t="shared" si="19"/>
        <v>0</v>
      </c>
      <c r="Z29" s="101">
        <f t="shared" si="19"/>
        <v>0</v>
      </c>
      <c r="AA29" s="101">
        <f t="shared" si="19"/>
        <v>0</v>
      </c>
      <c r="AB29" s="101">
        <f t="shared" si="19"/>
        <v>0</v>
      </c>
      <c r="AC29" s="101">
        <f t="shared" si="19"/>
        <v>0</v>
      </c>
      <c r="AD29" s="101">
        <f t="shared" si="19"/>
        <v>0</v>
      </c>
      <c r="AE29" s="102">
        <f t="shared" si="19"/>
        <v>0</v>
      </c>
    </row>
    <row r="30" spans="2:31" ht="12.75" thickBot="1">
      <c r="B30" s="155"/>
      <c r="C30" s="156" t="s">
        <v>169</v>
      </c>
      <c r="D30" s="157"/>
      <c r="E30" s="157"/>
      <c r="F30" s="158"/>
      <c r="G30" s="146">
        <f aca="true" t="shared" si="20" ref="G30:U30">G29+G28</f>
        <v>0</v>
      </c>
      <c r="H30" s="147">
        <f t="shared" si="20"/>
        <v>0</v>
      </c>
      <c r="I30" s="147">
        <f t="shared" si="20"/>
        <v>0</v>
      </c>
      <c r="J30" s="147">
        <f t="shared" si="20"/>
        <v>0</v>
      </c>
      <c r="K30" s="147">
        <f t="shared" si="20"/>
        <v>0</v>
      </c>
      <c r="L30" s="147">
        <f t="shared" si="20"/>
        <v>0</v>
      </c>
      <c r="M30" s="147">
        <f t="shared" si="20"/>
        <v>0</v>
      </c>
      <c r="N30" s="147">
        <f t="shared" si="20"/>
        <v>0</v>
      </c>
      <c r="O30" s="147">
        <f t="shared" si="20"/>
        <v>0</v>
      </c>
      <c r="P30" s="147">
        <f t="shared" si="20"/>
        <v>0</v>
      </c>
      <c r="Q30" s="147">
        <f t="shared" si="20"/>
        <v>0</v>
      </c>
      <c r="R30" s="147">
        <f t="shared" si="20"/>
        <v>0</v>
      </c>
      <c r="S30" s="147">
        <f t="shared" si="20"/>
        <v>0</v>
      </c>
      <c r="T30" s="147">
        <f t="shared" si="20"/>
        <v>0</v>
      </c>
      <c r="U30" s="147">
        <f t="shared" si="20"/>
        <v>0</v>
      </c>
      <c r="V30" s="147">
        <f aca="true" t="shared" si="21" ref="V30:AE30">V29+V28</f>
        <v>0</v>
      </c>
      <c r="W30" s="147">
        <f t="shared" si="21"/>
        <v>0</v>
      </c>
      <c r="X30" s="147">
        <f t="shared" si="21"/>
        <v>0</v>
      </c>
      <c r="Y30" s="147">
        <f t="shared" si="21"/>
        <v>0</v>
      </c>
      <c r="Z30" s="147">
        <f t="shared" si="21"/>
        <v>0</v>
      </c>
      <c r="AA30" s="147">
        <f t="shared" si="21"/>
        <v>0</v>
      </c>
      <c r="AB30" s="147">
        <f t="shared" si="21"/>
        <v>0</v>
      </c>
      <c r="AC30" s="147">
        <f t="shared" si="21"/>
        <v>0</v>
      </c>
      <c r="AD30" s="147">
        <f t="shared" si="21"/>
        <v>0</v>
      </c>
      <c r="AE30" s="148">
        <f t="shared" si="21"/>
        <v>0</v>
      </c>
    </row>
    <row r="31" spans="2:31" ht="11.25">
      <c r="B31" s="71"/>
      <c r="C31" s="71"/>
      <c r="D31" s="71"/>
      <c r="E31" s="72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</row>
    <row r="32" spans="2:31" ht="12" thickBot="1">
      <c r="B32" s="71"/>
      <c r="C32" s="71"/>
      <c r="D32" s="71"/>
      <c r="E32" s="72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2:31" ht="12.75">
      <c r="B33" s="108" t="s">
        <v>17</v>
      </c>
      <c r="C33" s="109" t="s">
        <v>74</v>
      </c>
      <c r="D33" s="109"/>
      <c r="E33" s="109"/>
      <c r="F33" s="110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/>
    </row>
    <row r="34" spans="2:31" ht="13.5" customHeight="1" thickBot="1">
      <c r="B34" s="111" t="s">
        <v>25</v>
      </c>
      <c r="C34" s="112" t="s">
        <v>168</v>
      </c>
      <c r="D34" s="963" t="s">
        <v>72</v>
      </c>
      <c r="E34" s="963" t="s">
        <v>73</v>
      </c>
      <c r="F34" s="964" t="s">
        <v>70</v>
      </c>
      <c r="G34" s="134">
        <f>G3</f>
        <v>2014</v>
      </c>
      <c r="H34" s="135">
        <f>G34+1</f>
        <v>2015</v>
      </c>
      <c r="I34" s="135">
        <f aca="true" t="shared" si="22" ref="I34:U34">H34+1</f>
        <v>2016</v>
      </c>
      <c r="J34" s="135">
        <f t="shared" si="22"/>
        <v>2017</v>
      </c>
      <c r="K34" s="135">
        <f t="shared" si="22"/>
        <v>2018</v>
      </c>
      <c r="L34" s="135">
        <f t="shared" si="22"/>
        <v>2019</v>
      </c>
      <c r="M34" s="135">
        <f t="shared" si="22"/>
        <v>2020</v>
      </c>
      <c r="N34" s="135">
        <f t="shared" si="22"/>
        <v>2021</v>
      </c>
      <c r="O34" s="135">
        <f t="shared" si="22"/>
        <v>2022</v>
      </c>
      <c r="P34" s="135">
        <f t="shared" si="22"/>
        <v>2023</v>
      </c>
      <c r="Q34" s="135">
        <f t="shared" si="22"/>
        <v>2024</v>
      </c>
      <c r="R34" s="135">
        <f t="shared" si="22"/>
        <v>2025</v>
      </c>
      <c r="S34" s="135">
        <f t="shared" si="22"/>
        <v>2026</v>
      </c>
      <c r="T34" s="135">
        <f t="shared" si="22"/>
        <v>2027</v>
      </c>
      <c r="U34" s="135">
        <f t="shared" si="22"/>
        <v>2028</v>
      </c>
      <c r="V34" s="135">
        <f aca="true" t="shared" si="23" ref="V34:AE34">U34+1</f>
        <v>2029</v>
      </c>
      <c r="W34" s="135">
        <f t="shared" si="23"/>
        <v>2030</v>
      </c>
      <c r="X34" s="135">
        <f t="shared" si="23"/>
        <v>2031</v>
      </c>
      <c r="Y34" s="135">
        <f t="shared" si="23"/>
        <v>2032</v>
      </c>
      <c r="Z34" s="135">
        <f t="shared" si="23"/>
        <v>2033</v>
      </c>
      <c r="AA34" s="135">
        <f t="shared" si="23"/>
        <v>2034</v>
      </c>
      <c r="AB34" s="135">
        <f t="shared" si="23"/>
        <v>2035</v>
      </c>
      <c r="AC34" s="135">
        <f t="shared" si="23"/>
        <v>2036</v>
      </c>
      <c r="AD34" s="135">
        <f t="shared" si="23"/>
        <v>2037</v>
      </c>
      <c r="AE34" s="136">
        <f t="shared" si="23"/>
        <v>2038</v>
      </c>
    </row>
    <row r="35" spans="2:31" ht="12.75" thickBot="1">
      <c r="B35" s="113"/>
      <c r="C35" s="159" t="s">
        <v>159</v>
      </c>
      <c r="D35" s="963"/>
      <c r="E35" s="963"/>
      <c r="F35" s="965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8"/>
    </row>
    <row r="36" spans="2:31" ht="12">
      <c r="B36" s="115"/>
      <c r="C36" s="116" t="s">
        <v>306</v>
      </c>
      <c r="D36" s="160">
        <f aca="true" t="shared" si="24" ref="D36:D44">F36-E36</f>
        <v>0</v>
      </c>
      <c r="E36" s="103"/>
      <c r="F36" s="160">
        <f>SUM(G36:AE36,G52:AE52)</f>
        <v>0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</row>
    <row r="37" spans="2:31" ht="12">
      <c r="B37" s="119"/>
      <c r="C37" s="120" t="s">
        <v>304</v>
      </c>
      <c r="D37" s="161">
        <f t="shared" si="24"/>
        <v>0</v>
      </c>
      <c r="E37" s="104"/>
      <c r="F37" s="161">
        <f aca="true" t="shared" si="25" ref="F37:F47">SUM(G37:AE37,G53:AE53)</f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</row>
    <row r="38" spans="2:31" ht="12">
      <c r="B38" s="119"/>
      <c r="C38" s="120" t="s">
        <v>307</v>
      </c>
      <c r="D38" s="161">
        <f t="shared" si="24"/>
        <v>0</v>
      </c>
      <c r="E38" s="104"/>
      <c r="F38" s="161">
        <f t="shared" si="25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</row>
    <row r="39" spans="2:31" ht="12">
      <c r="B39" s="119"/>
      <c r="C39" s="120" t="s">
        <v>69</v>
      </c>
      <c r="D39" s="161">
        <f t="shared" si="24"/>
        <v>0</v>
      </c>
      <c r="E39" s="104"/>
      <c r="F39" s="161">
        <f t="shared" si="25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</row>
    <row r="40" spans="2:31" ht="12">
      <c r="B40" s="119"/>
      <c r="C40" s="120" t="s">
        <v>308</v>
      </c>
      <c r="D40" s="161">
        <f t="shared" si="24"/>
        <v>0</v>
      </c>
      <c r="E40" s="104"/>
      <c r="F40" s="161">
        <f t="shared" si="25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</row>
    <row r="41" spans="2:31" ht="12">
      <c r="B41" s="119"/>
      <c r="C41" s="120" t="s">
        <v>309</v>
      </c>
      <c r="D41" s="161">
        <f t="shared" si="24"/>
        <v>0</v>
      </c>
      <c r="E41" s="104"/>
      <c r="F41" s="161">
        <f t="shared" si="25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4"/>
    </row>
    <row r="42" spans="2:31" ht="12">
      <c r="B42" s="119"/>
      <c r="C42" s="120" t="s">
        <v>310</v>
      </c>
      <c r="D42" s="161">
        <f t="shared" si="24"/>
        <v>0</v>
      </c>
      <c r="E42" s="104"/>
      <c r="F42" s="161">
        <f t="shared" si="25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4"/>
    </row>
    <row r="43" spans="2:31" ht="12">
      <c r="B43" s="119"/>
      <c r="C43" s="120" t="s">
        <v>75</v>
      </c>
      <c r="D43" s="161">
        <f t="shared" si="24"/>
        <v>0</v>
      </c>
      <c r="E43" s="104"/>
      <c r="F43" s="161">
        <f t="shared" si="25"/>
        <v>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</row>
    <row r="44" spans="2:31" ht="12">
      <c r="B44" s="123"/>
      <c r="C44" s="124" t="s">
        <v>311</v>
      </c>
      <c r="D44" s="162">
        <f t="shared" si="24"/>
        <v>0</v>
      </c>
      <c r="E44" s="105"/>
      <c r="F44" s="162">
        <f t="shared" si="25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</row>
    <row r="45" spans="2:31" ht="12">
      <c r="B45" s="126"/>
      <c r="C45" s="163" t="s">
        <v>170</v>
      </c>
      <c r="D45" s="164">
        <f>SUM(D36:D44)</f>
        <v>0</v>
      </c>
      <c r="E45" s="164">
        <f>SUM(E36:E44)</f>
        <v>0</v>
      </c>
      <c r="F45" s="164">
        <f t="shared" si="25"/>
        <v>0</v>
      </c>
      <c r="G45" s="139">
        <f aca="true" t="shared" si="26" ref="G45:U45">SUM(G36:G44)</f>
        <v>0</v>
      </c>
      <c r="H45" s="140">
        <f t="shared" si="26"/>
        <v>0</v>
      </c>
      <c r="I45" s="140">
        <f t="shared" si="26"/>
        <v>0</v>
      </c>
      <c r="J45" s="140">
        <f t="shared" si="26"/>
        <v>0</v>
      </c>
      <c r="K45" s="140">
        <f t="shared" si="26"/>
        <v>0</v>
      </c>
      <c r="L45" s="140">
        <f t="shared" si="26"/>
        <v>0</v>
      </c>
      <c r="M45" s="140">
        <f t="shared" si="26"/>
        <v>0</v>
      </c>
      <c r="N45" s="140">
        <f t="shared" si="26"/>
        <v>0</v>
      </c>
      <c r="O45" s="140">
        <f t="shared" si="26"/>
        <v>0</v>
      </c>
      <c r="P45" s="140">
        <f t="shared" si="26"/>
        <v>0</v>
      </c>
      <c r="Q45" s="140">
        <f t="shared" si="26"/>
        <v>0</v>
      </c>
      <c r="R45" s="140">
        <f t="shared" si="26"/>
        <v>0</v>
      </c>
      <c r="S45" s="140">
        <f t="shared" si="26"/>
        <v>0</v>
      </c>
      <c r="T45" s="140">
        <f t="shared" si="26"/>
        <v>0</v>
      </c>
      <c r="U45" s="140">
        <f t="shared" si="26"/>
        <v>0</v>
      </c>
      <c r="V45" s="140">
        <f aca="true" t="shared" si="27" ref="V45:AE45">SUM(V36:V44)</f>
        <v>0</v>
      </c>
      <c r="W45" s="140">
        <f t="shared" si="27"/>
        <v>0</v>
      </c>
      <c r="X45" s="140">
        <f t="shared" si="27"/>
        <v>0</v>
      </c>
      <c r="Y45" s="140">
        <f t="shared" si="27"/>
        <v>0</v>
      </c>
      <c r="Z45" s="140">
        <f t="shared" si="27"/>
        <v>0</v>
      </c>
      <c r="AA45" s="140">
        <f t="shared" si="27"/>
        <v>0</v>
      </c>
      <c r="AB45" s="140">
        <f t="shared" si="27"/>
        <v>0</v>
      </c>
      <c r="AC45" s="140">
        <f t="shared" si="27"/>
        <v>0</v>
      </c>
      <c r="AD45" s="140">
        <f t="shared" si="27"/>
        <v>0</v>
      </c>
      <c r="AE45" s="141">
        <f t="shared" si="27"/>
        <v>0</v>
      </c>
    </row>
    <row r="46" spans="2:31" ht="12.75" thickBot="1">
      <c r="B46" s="95"/>
      <c r="C46" s="96">
        <f>'0 Úvod'!$N$21*1000</f>
        <v>210</v>
      </c>
      <c r="D46" s="101">
        <f>D45*$C46/1000</f>
        <v>0</v>
      </c>
      <c r="E46" s="101">
        <f>E45*$C46/1000</f>
        <v>0</v>
      </c>
      <c r="F46" s="101">
        <f t="shared" si="25"/>
        <v>0</v>
      </c>
      <c r="G46" s="100">
        <f>G45*$C46/1000</f>
        <v>0</v>
      </c>
      <c r="H46" s="101">
        <f>H45*$C46/1000</f>
        <v>0</v>
      </c>
      <c r="I46" s="101">
        <f aca="true" t="shared" si="28" ref="I46:T46">I45*$C46/1000</f>
        <v>0</v>
      </c>
      <c r="J46" s="101">
        <f t="shared" si="28"/>
        <v>0</v>
      </c>
      <c r="K46" s="101">
        <f t="shared" si="28"/>
        <v>0</v>
      </c>
      <c r="L46" s="101">
        <f t="shared" si="28"/>
        <v>0</v>
      </c>
      <c r="M46" s="101">
        <f t="shared" si="28"/>
        <v>0</v>
      </c>
      <c r="N46" s="101">
        <f t="shared" si="28"/>
        <v>0</v>
      </c>
      <c r="O46" s="101">
        <f t="shared" si="28"/>
        <v>0</v>
      </c>
      <c r="P46" s="101">
        <f t="shared" si="28"/>
        <v>0</v>
      </c>
      <c r="Q46" s="101">
        <f t="shared" si="28"/>
        <v>0</v>
      </c>
      <c r="R46" s="101">
        <f t="shared" si="28"/>
        <v>0</v>
      </c>
      <c r="S46" s="101">
        <f t="shared" si="28"/>
        <v>0</v>
      </c>
      <c r="T46" s="101">
        <f t="shared" si="28"/>
        <v>0</v>
      </c>
      <c r="U46" s="101">
        <f>U45*$C46/1000</f>
        <v>0</v>
      </c>
      <c r="V46" s="101">
        <f aca="true" t="shared" si="29" ref="V46:AE46">V45*$C46/1000</f>
        <v>0</v>
      </c>
      <c r="W46" s="101">
        <f t="shared" si="29"/>
        <v>0</v>
      </c>
      <c r="X46" s="101">
        <f t="shared" si="29"/>
        <v>0</v>
      </c>
      <c r="Y46" s="101">
        <f t="shared" si="29"/>
        <v>0</v>
      </c>
      <c r="Z46" s="101">
        <f t="shared" si="29"/>
        <v>0</v>
      </c>
      <c r="AA46" s="101">
        <f t="shared" si="29"/>
        <v>0</v>
      </c>
      <c r="AB46" s="101">
        <f t="shared" si="29"/>
        <v>0</v>
      </c>
      <c r="AC46" s="101">
        <f t="shared" si="29"/>
        <v>0</v>
      </c>
      <c r="AD46" s="101">
        <f t="shared" si="29"/>
        <v>0</v>
      </c>
      <c r="AE46" s="102">
        <f t="shared" si="29"/>
        <v>0</v>
      </c>
    </row>
    <row r="47" spans="2:31" ht="12.75" thickBot="1">
      <c r="B47" s="142"/>
      <c r="C47" s="143" t="s">
        <v>171</v>
      </c>
      <c r="D47" s="165">
        <f>SUM(D45:D46)</f>
        <v>0</v>
      </c>
      <c r="E47" s="165">
        <f>SUM(E45:E46)</f>
        <v>0</v>
      </c>
      <c r="F47" s="165">
        <f t="shared" si="25"/>
        <v>0</v>
      </c>
      <c r="G47" s="146">
        <f aca="true" t="shared" si="30" ref="G47:U47">G46+G45</f>
        <v>0</v>
      </c>
      <c r="H47" s="147">
        <f t="shared" si="30"/>
        <v>0</v>
      </c>
      <c r="I47" s="147">
        <f t="shared" si="30"/>
        <v>0</v>
      </c>
      <c r="J47" s="147">
        <f t="shared" si="30"/>
        <v>0</v>
      </c>
      <c r="K47" s="147">
        <f t="shared" si="30"/>
        <v>0</v>
      </c>
      <c r="L47" s="147">
        <f t="shared" si="30"/>
        <v>0</v>
      </c>
      <c r="M47" s="147">
        <f t="shared" si="30"/>
        <v>0</v>
      </c>
      <c r="N47" s="147">
        <f t="shared" si="30"/>
        <v>0</v>
      </c>
      <c r="O47" s="147">
        <f t="shared" si="30"/>
        <v>0</v>
      </c>
      <c r="P47" s="147">
        <f t="shared" si="30"/>
        <v>0</v>
      </c>
      <c r="Q47" s="147">
        <f t="shared" si="30"/>
        <v>0</v>
      </c>
      <c r="R47" s="147">
        <f t="shared" si="30"/>
        <v>0</v>
      </c>
      <c r="S47" s="147">
        <f t="shared" si="30"/>
        <v>0</v>
      </c>
      <c r="T47" s="147">
        <f t="shared" si="30"/>
        <v>0</v>
      </c>
      <c r="U47" s="147">
        <f t="shared" si="30"/>
        <v>0</v>
      </c>
      <c r="V47" s="147">
        <f aca="true" t="shared" si="31" ref="V47:AE47">V46+V45</f>
        <v>0</v>
      </c>
      <c r="W47" s="147">
        <f t="shared" si="31"/>
        <v>0</v>
      </c>
      <c r="X47" s="147">
        <f t="shared" si="31"/>
        <v>0</v>
      </c>
      <c r="Y47" s="147">
        <f t="shared" si="31"/>
        <v>0</v>
      </c>
      <c r="Z47" s="147">
        <f t="shared" si="31"/>
        <v>0</v>
      </c>
      <c r="AA47" s="147">
        <f t="shared" si="31"/>
        <v>0</v>
      </c>
      <c r="AB47" s="147">
        <f t="shared" si="31"/>
        <v>0</v>
      </c>
      <c r="AC47" s="147">
        <f t="shared" si="31"/>
        <v>0</v>
      </c>
      <c r="AD47" s="147">
        <f t="shared" si="31"/>
        <v>0</v>
      </c>
      <c r="AE47" s="148">
        <f t="shared" si="31"/>
        <v>0</v>
      </c>
    </row>
    <row r="48" spans="2:31" ht="12" thickBot="1">
      <c r="B48" s="71"/>
      <c r="C48" s="71"/>
      <c r="D48" s="71"/>
      <c r="E48" s="72"/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spans="2:31" ht="12.75">
      <c r="B49" s="108" t="s">
        <v>17</v>
      </c>
      <c r="C49" s="109" t="s">
        <v>74</v>
      </c>
      <c r="D49" s="109"/>
      <c r="E49" s="109"/>
      <c r="F49" s="110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</row>
    <row r="50" spans="2:31" ht="13.5" thickBot="1">
      <c r="B50" s="111" t="s">
        <v>26</v>
      </c>
      <c r="C50" s="112" t="s">
        <v>168</v>
      </c>
      <c r="D50" s="955"/>
      <c r="E50" s="955"/>
      <c r="F50" s="962"/>
      <c r="G50" s="134">
        <f>AE34+1</f>
        <v>2039</v>
      </c>
      <c r="H50" s="135">
        <f>G50+1</f>
        <v>2040</v>
      </c>
      <c r="I50" s="135">
        <f aca="true" t="shared" si="32" ref="I50:U50">H50+1</f>
        <v>2041</v>
      </c>
      <c r="J50" s="135">
        <f t="shared" si="32"/>
        <v>2042</v>
      </c>
      <c r="K50" s="135">
        <f t="shared" si="32"/>
        <v>2043</v>
      </c>
      <c r="L50" s="135">
        <f t="shared" si="32"/>
        <v>2044</v>
      </c>
      <c r="M50" s="135">
        <f t="shared" si="32"/>
        <v>2045</v>
      </c>
      <c r="N50" s="135">
        <f t="shared" si="32"/>
        <v>2046</v>
      </c>
      <c r="O50" s="135">
        <f t="shared" si="32"/>
        <v>2047</v>
      </c>
      <c r="P50" s="135">
        <f t="shared" si="32"/>
        <v>2048</v>
      </c>
      <c r="Q50" s="135">
        <f t="shared" si="32"/>
        <v>2049</v>
      </c>
      <c r="R50" s="135">
        <f t="shared" si="32"/>
        <v>2050</v>
      </c>
      <c r="S50" s="135">
        <f t="shared" si="32"/>
        <v>2051</v>
      </c>
      <c r="T50" s="135">
        <f t="shared" si="32"/>
        <v>2052</v>
      </c>
      <c r="U50" s="135">
        <f t="shared" si="32"/>
        <v>2053</v>
      </c>
      <c r="V50" s="135">
        <f aca="true" t="shared" si="33" ref="V50:AE50">U50+1</f>
        <v>2054</v>
      </c>
      <c r="W50" s="135">
        <f t="shared" si="33"/>
        <v>2055</v>
      </c>
      <c r="X50" s="135">
        <f t="shared" si="33"/>
        <v>2056</v>
      </c>
      <c r="Y50" s="135">
        <f t="shared" si="33"/>
        <v>2057</v>
      </c>
      <c r="Z50" s="135">
        <f t="shared" si="33"/>
        <v>2058</v>
      </c>
      <c r="AA50" s="135">
        <f t="shared" si="33"/>
        <v>2059</v>
      </c>
      <c r="AB50" s="135">
        <f t="shared" si="33"/>
        <v>2060</v>
      </c>
      <c r="AC50" s="135">
        <f t="shared" si="33"/>
        <v>2061</v>
      </c>
      <c r="AD50" s="135">
        <f t="shared" si="33"/>
        <v>2062</v>
      </c>
      <c r="AE50" s="136">
        <f t="shared" si="33"/>
        <v>2063</v>
      </c>
    </row>
    <row r="51" spans="2:31" ht="12.75" thickBot="1">
      <c r="B51" s="113"/>
      <c r="C51" s="166" t="s">
        <v>159</v>
      </c>
      <c r="D51" s="955"/>
      <c r="E51" s="955"/>
      <c r="F51" s="962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0"/>
    </row>
    <row r="52" spans="2:31" ht="12">
      <c r="B52" s="115"/>
      <c r="C52" s="116" t="s">
        <v>306</v>
      </c>
      <c r="D52" s="117"/>
      <c r="E52" s="117"/>
      <c r="F52" s="15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</row>
    <row r="53" spans="2:31" ht="12">
      <c r="B53" s="119"/>
      <c r="C53" s="120" t="s">
        <v>304</v>
      </c>
      <c r="D53" s="121"/>
      <c r="E53" s="121"/>
      <c r="F53" s="152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4"/>
    </row>
    <row r="54" spans="2:31" ht="12">
      <c r="B54" s="119"/>
      <c r="C54" s="120" t="s">
        <v>307</v>
      </c>
      <c r="D54" s="121"/>
      <c r="E54" s="121"/>
      <c r="F54" s="15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4"/>
    </row>
    <row r="55" spans="2:31" ht="12">
      <c r="B55" s="119"/>
      <c r="C55" s="120" t="s">
        <v>69</v>
      </c>
      <c r="D55" s="121"/>
      <c r="E55" s="121"/>
      <c r="F55" s="152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4"/>
    </row>
    <row r="56" spans="2:31" ht="12">
      <c r="B56" s="119"/>
      <c r="C56" s="120" t="s">
        <v>308</v>
      </c>
      <c r="D56" s="121"/>
      <c r="E56" s="121"/>
      <c r="F56" s="15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4"/>
    </row>
    <row r="57" spans="2:31" ht="12">
      <c r="B57" s="119"/>
      <c r="C57" s="120" t="s">
        <v>309</v>
      </c>
      <c r="D57" s="121"/>
      <c r="E57" s="121"/>
      <c r="F57" s="152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4"/>
    </row>
    <row r="58" spans="2:31" ht="12">
      <c r="B58" s="119"/>
      <c r="C58" s="120" t="s">
        <v>310</v>
      </c>
      <c r="D58" s="121"/>
      <c r="E58" s="121"/>
      <c r="F58" s="152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</row>
    <row r="59" spans="2:31" ht="12">
      <c r="B59" s="119"/>
      <c r="C59" s="120" t="s">
        <v>75</v>
      </c>
      <c r="D59" s="121"/>
      <c r="E59" s="121"/>
      <c r="F59" s="15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4"/>
    </row>
    <row r="60" spans="2:31" ht="12">
      <c r="B60" s="123"/>
      <c r="C60" s="124" t="s">
        <v>311</v>
      </c>
      <c r="D60" s="125"/>
      <c r="E60" s="125"/>
      <c r="F60" s="15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4"/>
    </row>
    <row r="61" spans="2:31" ht="12">
      <c r="B61" s="126"/>
      <c r="C61" s="163" t="s">
        <v>170</v>
      </c>
      <c r="D61" s="167"/>
      <c r="E61" s="167"/>
      <c r="F61" s="168"/>
      <c r="G61" s="139">
        <f aca="true" t="shared" si="34" ref="G61:U61">SUM(G52:G60)</f>
        <v>0</v>
      </c>
      <c r="H61" s="140">
        <f t="shared" si="34"/>
        <v>0</v>
      </c>
      <c r="I61" s="140">
        <f t="shared" si="34"/>
        <v>0</v>
      </c>
      <c r="J61" s="140">
        <f t="shared" si="34"/>
        <v>0</v>
      </c>
      <c r="K61" s="140">
        <f t="shared" si="34"/>
        <v>0</v>
      </c>
      <c r="L61" s="140">
        <f t="shared" si="34"/>
        <v>0</v>
      </c>
      <c r="M61" s="140">
        <f t="shared" si="34"/>
        <v>0</v>
      </c>
      <c r="N61" s="140">
        <f t="shared" si="34"/>
        <v>0</v>
      </c>
      <c r="O61" s="140">
        <f t="shared" si="34"/>
        <v>0</v>
      </c>
      <c r="P61" s="140">
        <f t="shared" si="34"/>
        <v>0</v>
      </c>
      <c r="Q61" s="140">
        <f t="shared" si="34"/>
        <v>0</v>
      </c>
      <c r="R61" s="140">
        <f t="shared" si="34"/>
        <v>0</v>
      </c>
      <c r="S61" s="140">
        <f t="shared" si="34"/>
        <v>0</v>
      </c>
      <c r="T61" s="140">
        <f t="shared" si="34"/>
        <v>0</v>
      </c>
      <c r="U61" s="140">
        <f t="shared" si="34"/>
        <v>0</v>
      </c>
      <c r="V61" s="140">
        <f aca="true" t="shared" si="35" ref="V61:AE61">SUM(V52:V60)</f>
        <v>0</v>
      </c>
      <c r="W61" s="140">
        <f t="shared" si="35"/>
        <v>0</v>
      </c>
      <c r="X61" s="140">
        <f t="shared" si="35"/>
        <v>0</v>
      </c>
      <c r="Y61" s="140">
        <f t="shared" si="35"/>
        <v>0</v>
      </c>
      <c r="Z61" s="140">
        <f t="shared" si="35"/>
        <v>0</v>
      </c>
      <c r="AA61" s="140">
        <f t="shared" si="35"/>
        <v>0</v>
      </c>
      <c r="AB61" s="140">
        <f t="shared" si="35"/>
        <v>0</v>
      </c>
      <c r="AC61" s="140">
        <f t="shared" si="35"/>
        <v>0</v>
      </c>
      <c r="AD61" s="140">
        <f t="shared" si="35"/>
        <v>0</v>
      </c>
      <c r="AE61" s="141">
        <f t="shared" si="35"/>
        <v>0</v>
      </c>
    </row>
    <row r="62" spans="2:31" ht="12.75" thickBot="1">
      <c r="B62" s="95"/>
      <c r="C62" s="96">
        <f>'0 Úvod'!$N$21*1000</f>
        <v>210</v>
      </c>
      <c r="D62" s="90"/>
      <c r="E62" s="80"/>
      <c r="F62" s="106"/>
      <c r="G62" s="100">
        <f>G61*$C62/1000</f>
        <v>0</v>
      </c>
      <c r="H62" s="101">
        <f>H61*$C62/1000</f>
        <v>0</v>
      </c>
      <c r="I62" s="101">
        <f aca="true" t="shared" si="36" ref="I62:T62">I61*$C62/1000</f>
        <v>0</v>
      </c>
      <c r="J62" s="101">
        <f t="shared" si="36"/>
        <v>0</v>
      </c>
      <c r="K62" s="101">
        <f t="shared" si="36"/>
        <v>0</v>
      </c>
      <c r="L62" s="101">
        <f t="shared" si="36"/>
        <v>0</v>
      </c>
      <c r="M62" s="101">
        <f t="shared" si="36"/>
        <v>0</v>
      </c>
      <c r="N62" s="101">
        <f t="shared" si="36"/>
        <v>0</v>
      </c>
      <c r="O62" s="101">
        <f t="shared" si="36"/>
        <v>0</v>
      </c>
      <c r="P62" s="101">
        <f t="shared" si="36"/>
        <v>0</v>
      </c>
      <c r="Q62" s="101">
        <f t="shared" si="36"/>
        <v>0</v>
      </c>
      <c r="R62" s="101">
        <f t="shared" si="36"/>
        <v>0</v>
      </c>
      <c r="S62" s="101">
        <f t="shared" si="36"/>
        <v>0</v>
      </c>
      <c r="T62" s="101">
        <f t="shared" si="36"/>
        <v>0</v>
      </c>
      <c r="U62" s="101">
        <f>U61*$C62/1000</f>
        <v>0</v>
      </c>
      <c r="V62" s="101">
        <f aca="true" t="shared" si="37" ref="V62:AE62">V61*$C62/1000</f>
        <v>0</v>
      </c>
      <c r="W62" s="101">
        <f t="shared" si="37"/>
        <v>0</v>
      </c>
      <c r="X62" s="101">
        <f t="shared" si="37"/>
        <v>0</v>
      </c>
      <c r="Y62" s="101">
        <f t="shared" si="37"/>
        <v>0</v>
      </c>
      <c r="Z62" s="101">
        <f t="shared" si="37"/>
        <v>0</v>
      </c>
      <c r="AA62" s="101">
        <f t="shared" si="37"/>
        <v>0</v>
      </c>
      <c r="AB62" s="101">
        <f t="shared" si="37"/>
        <v>0</v>
      </c>
      <c r="AC62" s="101">
        <f t="shared" si="37"/>
        <v>0</v>
      </c>
      <c r="AD62" s="101">
        <f t="shared" si="37"/>
        <v>0</v>
      </c>
      <c r="AE62" s="102">
        <f t="shared" si="37"/>
        <v>0</v>
      </c>
    </row>
    <row r="63" spans="2:31" ht="12.75" thickBot="1">
      <c r="B63" s="142"/>
      <c r="C63" s="143" t="s">
        <v>171</v>
      </c>
      <c r="D63" s="144"/>
      <c r="E63" s="144"/>
      <c r="F63" s="169"/>
      <c r="G63" s="146">
        <f aca="true" t="shared" si="38" ref="G63:U63">G62+G61</f>
        <v>0</v>
      </c>
      <c r="H63" s="147">
        <f t="shared" si="38"/>
        <v>0</v>
      </c>
      <c r="I63" s="147">
        <f t="shared" si="38"/>
        <v>0</v>
      </c>
      <c r="J63" s="147">
        <f t="shared" si="38"/>
        <v>0</v>
      </c>
      <c r="K63" s="147">
        <f t="shared" si="38"/>
        <v>0</v>
      </c>
      <c r="L63" s="147">
        <f t="shared" si="38"/>
        <v>0</v>
      </c>
      <c r="M63" s="147">
        <f t="shared" si="38"/>
        <v>0</v>
      </c>
      <c r="N63" s="147">
        <f t="shared" si="38"/>
        <v>0</v>
      </c>
      <c r="O63" s="147">
        <f t="shared" si="38"/>
        <v>0</v>
      </c>
      <c r="P63" s="147">
        <f t="shared" si="38"/>
        <v>0</v>
      </c>
      <c r="Q63" s="147">
        <f t="shared" si="38"/>
        <v>0</v>
      </c>
      <c r="R63" s="147">
        <f t="shared" si="38"/>
        <v>0</v>
      </c>
      <c r="S63" s="147">
        <f t="shared" si="38"/>
        <v>0</v>
      </c>
      <c r="T63" s="147">
        <f t="shared" si="38"/>
        <v>0</v>
      </c>
      <c r="U63" s="147">
        <f t="shared" si="38"/>
        <v>0</v>
      </c>
      <c r="V63" s="147">
        <f aca="true" t="shared" si="39" ref="V63:AE63">V62+V61</f>
        <v>0</v>
      </c>
      <c r="W63" s="147">
        <f t="shared" si="39"/>
        <v>0</v>
      </c>
      <c r="X63" s="147">
        <f t="shared" si="39"/>
        <v>0</v>
      </c>
      <c r="Y63" s="147">
        <f t="shared" si="39"/>
        <v>0</v>
      </c>
      <c r="Z63" s="147">
        <f t="shared" si="39"/>
        <v>0</v>
      </c>
      <c r="AA63" s="147">
        <f t="shared" si="39"/>
        <v>0</v>
      </c>
      <c r="AB63" s="147">
        <f t="shared" si="39"/>
        <v>0</v>
      </c>
      <c r="AC63" s="147">
        <f t="shared" si="39"/>
        <v>0</v>
      </c>
      <c r="AD63" s="147">
        <f t="shared" si="39"/>
        <v>0</v>
      </c>
      <c r="AE63" s="148">
        <f t="shared" si="39"/>
        <v>0</v>
      </c>
    </row>
    <row r="64" spans="2:21" ht="11.25">
      <c r="B64" s="71"/>
      <c r="C64" s="71"/>
      <c r="D64" s="71"/>
      <c r="E64" s="72"/>
      <c r="F64" s="7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 ht="12" thickBot="1">
      <c r="B65" s="72"/>
      <c r="C65" s="72"/>
      <c r="D65" s="72"/>
      <c r="E65" s="72"/>
      <c r="F65" s="73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16" ht="11.25">
      <c r="B66" s="956" t="s">
        <v>77</v>
      </c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957"/>
      <c r="P66" s="958"/>
    </row>
    <row r="67" spans="2:16" ht="12" thickBot="1">
      <c r="B67" s="959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1"/>
    </row>
    <row r="68" spans="2:16" ht="12.75">
      <c r="B68" s="170" t="s">
        <v>76</v>
      </c>
      <c r="C68" s="171"/>
      <c r="D68" s="172"/>
      <c r="E68" s="172"/>
      <c r="F68" s="172"/>
      <c r="G68" s="173"/>
      <c r="H68" s="174"/>
      <c r="I68" s="174"/>
      <c r="J68" s="174"/>
      <c r="K68" s="174"/>
      <c r="L68" s="174"/>
      <c r="M68" s="174"/>
      <c r="N68" s="174"/>
      <c r="O68" s="174"/>
      <c r="P68" s="175"/>
    </row>
    <row r="69" spans="2:16" ht="12" thickBot="1">
      <c r="B69" s="176"/>
      <c r="C69" s="177"/>
      <c r="D69" s="177"/>
      <c r="E69" s="177"/>
      <c r="F69" s="177"/>
      <c r="G69" s="178"/>
      <c r="H69" s="177"/>
      <c r="I69" s="177"/>
      <c r="J69" s="177"/>
      <c r="K69" s="177"/>
      <c r="L69" s="177"/>
      <c r="M69" s="177"/>
      <c r="N69" s="177"/>
      <c r="O69" s="177"/>
      <c r="P69" s="179"/>
    </row>
    <row r="70" spans="2:12" ht="11.25">
      <c r="B70" s="71"/>
      <c r="C70" s="71"/>
      <c r="D70" s="71"/>
      <c r="L70" s="70"/>
    </row>
    <row r="71" spans="2:12" ht="11.25">
      <c r="B71" s="71"/>
      <c r="C71" s="71"/>
      <c r="D71" s="71"/>
      <c r="K71" s="107"/>
      <c r="L71" s="70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3">
    <mergeCell ref="F50:F51"/>
    <mergeCell ref="F3:F4"/>
    <mergeCell ref="E3:E4"/>
    <mergeCell ref="D3:D4"/>
    <mergeCell ref="D50:D51"/>
    <mergeCell ref="E50:E51"/>
    <mergeCell ref="B66:P67"/>
    <mergeCell ref="D18:D19"/>
    <mergeCell ref="E18:E19"/>
    <mergeCell ref="F18:F19"/>
    <mergeCell ref="D34:D35"/>
    <mergeCell ref="E34:E35"/>
    <mergeCell ref="F34:F35"/>
  </mergeCells>
  <printOptions/>
  <pageMargins left="0.3937007874015748" right="0.35433070866141736" top="0.984251968503937" bottom="0.7874015748031497" header="0.3937007874015748" footer="0.3937007874015748"/>
  <pageSetup fitToHeight="2" fitToWidth="1" horizontalDpi="600" verticalDpi="600" orientation="landscape" paperSize="9" scale="40" r:id="rId3"/>
  <headerFooter alignWithMargins="0">
    <oddFooter>&amp;L&amp;A&amp;C15.9.2010</oddFooter>
  </headerFooter>
  <ignoredErrors>
    <ignoredError sqref="F45" formula="1"/>
    <ignoredError sqref="C14:AE14 C29:AE29 C46:E46 G46:AE46 C62:AE62" unlockedFormula="1"/>
    <ignoredError sqref="F46" formula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2:AC6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70" customWidth="1"/>
    <col min="2" max="2" width="5.7109375" style="70" customWidth="1"/>
    <col min="3" max="3" width="48.28125" style="70" bestFit="1" customWidth="1"/>
    <col min="4" max="4" width="14.28125" style="180" customWidth="1"/>
    <col min="5" max="5" width="12.00390625" style="181" customWidth="1"/>
    <col min="6" max="6" width="11.421875" style="70" customWidth="1"/>
    <col min="7" max="29" width="10.7109375" style="70" customWidth="1"/>
    <col min="30" max="16384" width="9.140625" style="70" customWidth="1"/>
  </cols>
  <sheetData>
    <row r="1" ht="12" thickBot="1"/>
    <row r="2" spans="2:29" ht="12.75">
      <c r="B2" s="108" t="s">
        <v>35</v>
      </c>
      <c r="C2" s="109" t="s">
        <v>78</v>
      </c>
      <c r="D2" s="110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2:29" ht="12.75" customHeight="1" thickBot="1">
      <c r="B3" s="111" t="s">
        <v>25</v>
      </c>
      <c r="C3" s="206"/>
      <c r="D3" s="966" t="s">
        <v>83</v>
      </c>
      <c r="E3" s="134">
        <f>'0 Úvod'!G19</f>
        <v>2014</v>
      </c>
      <c r="F3" s="135">
        <f>E3+1</f>
        <v>2015</v>
      </c>
      <c r="G3" s="135">
        <f aca="true" t="shared" si="0" ref="G3:S3">F3+1</f>
        <v>2016</v>
      </c>
      <c r="H3" s="135">
        <f t="shared" si="0"/>
        <v>2017</v>
      </c>
      <c r="I3" s="135">
        <f t="shared" si="0"/>
        <v>2018</v>
      </c>
      <c r="J3" s="135">
        <f t="shared" si="0"/>
        <v>2019</v>
      </c>
      <c r="K3" s="135">
        <f t="shared" si="0"/>
        <v>2020</v>
      </c>
      <c r="L3" s="135">
        <f t="shared" si="0"/>
        <v>2021</v>
      </c>
      <c r="M3" s="135">
        <f t="shared" si="0"/>
        <v>2022</v>
      </c>
      <c r="N3" s="135">
        <f t="shared" si="0"/>
        <v>2023</v>
      </c>
      <c r="O3" s="135">
        <f t="shared" si="0"/>
        <v>2024</v>
      </c>
      <c r="P3" s="135">
        <f t="shared" si="0"/>
        <v>2025</v>
      </c>
      <c r="Q3" s="135">
        <f t="shared" si="0"/>
        <v>2026</v>
      </c>
      <c r="R3" s="135">
        <f t="shared" si="0"/>
        <v>2027</v>
      </c>
      <c r="S3" s="135">
        <f t="shared" si="0"/>
        <v>2028</v>
      </c>
      <c r="T3" s="135">
        <f aca="true" t="shared" si="1" ref="T3:AC3">S3+1</f>
        <v>2029</v>
      </c>
      <c r="U3" s="135">
        <f t="shared" si="1"/>
        <v>2030</v>
      </c>
      <c r="V3" s="135">
        <f t="shared" si="1"/>
        <v>2031</v>
      </c>
      <c r="W3" s="135">
        <f t="shared" si="1"/>
        <v>2032</v>
      </c>
      <c r="X3" s="135">
        <f t="shared" si="1"/>
        <v>2033</v>
      </c>
      <c r="Y3" s="135">
        <f t="shared" si="1"/>
        <v>2034</v>
      </c>
      <c r="Z3" s="135">
        <f t="shared" si="1"/>
        <v>2035</v>
      </c>
      <c r="AA3" s="135">
        <f t="shared" si="1"/>
        <v>2036</v>
      </c>
      <c r="AB3" s="135">
        <f t="shared" si="1"/>
        <v>2037</v>
      </c>
      <c r="AC3" s="136">
        <f t="shared" si="1"/>
        <v>2038</v>
      </c>
    </row>
    <row r="4" spans="2:29" ht="12.75" thickBot="1">
      <c r="B4" s="207"/>
      <c r="C4" s="208"/>
      <c r="D4" s="967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</row>
    <row r="5" spans="2:29" ht="12">
      <c r="B5" s="209"/>
      <c r="C5" s="210" t="s">
        <v>177</v>
      </c>
      <c r="D5" s="211">
        <f>'1 Celkové investiční náklady'!F11</f>
        <v>0</v>
      </c>
      <c r="E5" s="212">
        <f>'1 Celkové investiční náklady'!G11</f>
        <v>0</v>
      </c>
      <c r="F5" s="213">
        <f>'1 Celkové investiční náklady'!H11</f>
        <v>0</v>
      </c>
      <c r="G5" s="213">
        <f>'1 Celkové investiční náklady'!I11</f>
        <v>0</v>
      </c>
      <c r="H5" s="213">
        <f>'1 Celkové investiční náklady'!J11</f>
        <v>0</v>
      </c>
      <c r="I5" s="213">
        <f>'1 Celkové investiční náklady'!K11</f>
        <v>0</v>
      </c>
      <c r="J5" s="213">
        <f>'1 Celkové investiční náklady'!L11</f>
        <v>0</v>
      </c>
      <c r="K5" s="213">
        <f>'1 Celkové investiční náklady'!M11</f>
        <v>0</v>
      </c>
      <c r="L5" s="213">
        <f>'1 Celkové investiční náklady'!N11</f>
        <v>0</v>
      </c>
      <c r="M5" s="213">
        <f>'1 Celkové investiční náklady'!O11</f>
        <v>0</v>
      </c>
      <c r="N5" s="213">
        <f>'1 Celkové investiční náklady'!P11</f>
        <v>0</v>
      </c>
      <c r="O5" s="213">
        <f>'1 Celkové investiční náklady'!Q11</f>
        <v>0</v>
      </c>
      <c r="P5" s="213">
        <f>'1 Celkové investiční náklady'!R11</f>
        <v>0</v>
      </c>
      <c r="Q5" s="213">
        <f>'1 Celkové investiční náklady'!S11</f>
        <v>0</v>
      </c>
      <c r="R5" s="213">
        <f>'1 Celkové investiční náklady'!T11</f>
        <v>0</v>
      </c>
      <c r="S5" s="213">
        <f>'1 Celkové investiční náklady'!U11</f>
        <v>0</v>
      </c>
      <c r="T5" s="213">
        <f>'1 Celkové investiční náklady'!V11</f>
        <v>0</v>
      </c>
      <c r="U5" s="213">
        <f>'1 Celkové investiční náklady'!W11</f>
        <v>0</v>
      </c>
      <c r="V5" s="213">
        <f>'1 Celkové investiční náklady'!X11</f>
        <v>0</v>
      </c>
      <c r="W5" s="213">
        <f>'1 Celkové investiční náklady'!Y11</f>
        <v>0</v>
      </c>
      <c r="X5" s="213">
        <f>'1 Celkové investiční náklady'!Z11</f>
        <v>0</v>
      </c>
      <c r="Y5" s="213">
        <f>'1 Celkové investiční náklady'!AA11</f>
        <v>0</v>
      </c>
      <c r="Z5" s="213">
        <f>'1 Celkové investiční náklady'!AB11</f>
        <v>0</v>
      </c>
      <c r="AA5" s="213">
        <f>'1 Celkové investiční náklady'!AC11</f>
        <v>0</v>
      </c>
      <c r="AB5" s="213">
        <f>'1 Celkové investiční náklady'!AD11</f>
        <v>0</v>
      </c>
      <c r="AC5" s="214">
        <f>'1 Celkové investiční náklady'!AE11</f>
        <v>0</v>
      </c>
    </row>
    <row r="6" spans="2:29" ht="12">
      <c r="B6" s="215"/>
      <c r="C6" s="216" t="str">
        <f>C45</f>
        <v>Zabezpečovací zařízení</v>
      </c>
      <c r="D6" s="217" t="e">
        <f>SUM(E6:AC6,E22:AC22)</f>
        <v>#DIV/0!</v>
      </c>
      <c r="E6" s="915">
        <f>IF(E3&lt;='0 Úvod'!$G$19+'0 Úvod'!$J$19-1,IF(E$3='0 Úvod'!$G$21,$F45,0),0)</f>
        <v>0</v>
      </c>
      <c r="F6" s="916">
        <f>IF(E3&lt;='0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16" t="e">
        <f>IF(F3&lt;='0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16" t="e">
        <f>IF(G3&lt;='0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16" t="e">
        <f>IF(H3&lt;='0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16" t="e">
        <f>IF(I3&lt;='0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16" t="e">
        <f>IF(J3&lt;='0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16" t="e">
        <f>IF(K3&lt;='0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16" t="e">
        <f>IF(L3&lt;='0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16" t="e">
        <f>IF(M3&lt;='0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16" t="e">
        <f>IF(N3&lt;='0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16" t="e">
        <f>IF(O3&lt;='0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16" t="e">
        <f>IF(P3&lt;='0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16" t="e">
        <f>IF(Q3&lt;='0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16" t="e">
        <f>IF(R3&lt;='0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16" t="e">
        <f>IF(S3&lt;='0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16" t="e">
        <f>IF(T3&lt;='0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16" t="e">
        <f>IF(U3&lt;='0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16" t="e">
        <f>IF(V3&lt;='0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16" t="e">
        <f>IF(W3&lt;='0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16" t="e">
        <f>IF(X3&lt;='0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16" t="e">
        <f>IF(Y3&lt;='0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16" t="e">
        <f>IF(Z3&lt;='0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16" t="e">
        <f>IF(AA3&lt;='0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17" t="e">
        <f>IF(AB3&lt;='0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2">
      <c r="B7" s="218"/>
      <c r="C7" s="120" t="str">
        <f>C46</f>
        <v>Sdělovací zařízení</v>
      </c>
      <c r="D7" s="219" t="e">
        <f aca="true" t="shared" si="2" ref="D7:D14">SUM(E7:AC7,E23:AC23)</f>
        <v>#DIV/0!</v>
      </c>
      <c r="E7" s="915">
        <f>IF(E3&lt;='0 Úvod'!$G$19+'0 Úvod'!$J$19-1,IF(E$3='0 Úvod'!$G$21,$F46,0),0)</f>
        <v>0</v>
      </c>
      <c r="F7" s="916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16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16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16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16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16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16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16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16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16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16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16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16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16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16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16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16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16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16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16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16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16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16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17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2">
      <c r="B8" s="218"/>
      <c r="C8" s="120" t="str">
        <f aca="true" t="shared" si="3" ref="C8:C13">C47</f>
        <v>Silnoproudé rozvody a zařízení</v>
      </c>
      <c r="D8" s="219" t="e">
        <f t="shared" si="2"/>
        <v>#DIV/0!</v>
      </c>
      <c r="E8" s="915">
        <f>IF(E3&lt;='0 Úvod'!$G$19+'0 Úvod'!$J$19-1,IF(E$3='0 Úvod'!$G$21,$F47,0),0)</f>
        <v>0</v>
      </c>
      <c r="F8" s="916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16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16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16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16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16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16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16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16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16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16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16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16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16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16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16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16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16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16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16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16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16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16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17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2">
      <c r="B9" s="218"/>
      <c r="C9" s="120" t="str">
        <f t="shared" si="3"/>
        <v>Železniční svršek a spodek</v>
      </c>
      <c r="D9" s="219" t="e">
        <f t="shared" si="2"/>
        <v>#DIV/0!</v>
      </c>
      <c r="E9" s="915">
        <f>IF(E3&lt;='0 Úvod'!$G$19+'0 Úvod'!$J$19-1,IF(E$3='0 Úvod'!$G$21,$F48,0),0)</f>
        <v>0</v>
      </c>
      <c r="F9" s="916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16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16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16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16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16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16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16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16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16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16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16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16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16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16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16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16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16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16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16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16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16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16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17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2">
      <c r="B10" s="218"/>
      <c r="C10" s="120" t="str">
        <f t="shared" si="3"/>
        <v>Mosty, propustky, tunely, komunikace a zpevněné plochy</v>
      </c>
      <c r="D10" s="219" t="e">
        <f t="shared" si="2"/>
        <v>#DIV/0!</v>
      </c>
      <c r="E10" s="915">
        <f>IF(E3&lt;='0 Úvod'!$G$19+'0 Úvod'!$J$19-1,IF(E$3='0 Úvod'!$G$21,$F49,0),0)</f>
        <v>0</v>
      </c>
      <c r="F10" s="916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16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16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16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16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16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16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16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16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16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16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16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16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16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16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16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16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16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16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16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16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16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16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17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2">
      <c r="B11" s="218"/>
      <c r="C11" s="120" t="str">
        <f t="shared" si="3"/>
        <v>Trakce</v>
      </c>
      <c r="D11" s="219" t="e">
        <f t="shared" si="2"/>
        <v>#DIV/0!</v>
      </c>
      <c r="E11" s="915">
        <f>IF(E3&lt;='0 Úvod'!$G$19+'0 Úvod'!$J$19-1,IF(E$3='0 Úvod'!$G$21,$F50,0),0)</f>
        <v>0</v>
      </c>
      <c r="F11" s="916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16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16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16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16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16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16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16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16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16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16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16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16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16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16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16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16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16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16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16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16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16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16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17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2">
      <c r="B12" s="218"/>
      <c r="C12" s="120" t="str">
        <f t="shared" si="3"/>
        <v>Inženýrské sítě (trubní vedení, kabelovody)</v>
      </c>
      <c r="D12" s="219" t="e">
        <f t="shared" si="2"/>
        <v>#DIV/0!</v>
      </c>
      <c r="E12" s="915">
        <f>IF(E3&lt;='0 Úvod'!$G$19+'0 Úvod'!$J$19-1,IF(E$3='0 Úvod'!$G$21,$F51,0),0)</f>
        <v>0</v>
      </c>
      <c r="F12" s="916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16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16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16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16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16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16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16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16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16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16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16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16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16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16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16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16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16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16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16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16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16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16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17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2">
      <c r="B13" s="218"/>
      <c r="C13" s="120" t="str">
        <f t="shared" si="3"/>
        <v>Pozemní stavby, nástupiště a přístřešky</v>
      </c>
      <c r="D13" s="219" t="e">
        <f t="shared" si="2"/>
        <v>#DIV/0!</v>
      </c>
      <c r="E13" s="915">
        <f>IF(E3&lt;='0 Úvod'!$G$19+'0 Úvod'!$J$19-1,IF(E$3='0 Úvod'!$G$21,$F52,0),0)</f>
        <v>0</v>
      </c>
      <c r="F13" s="916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16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16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16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16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16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16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16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16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16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16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16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16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16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16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16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16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16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16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16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16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16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16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17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2">
      <c r="B14" s="218"/>
      <c r="C14" s="220" t="str">
        <f>C53</f>
        <v>Objekty ochrany životního prostředí</v>
      </c>
      <c r="D14" s="219" t="e">
        <f t="shared" si="2"/>
        <v>#DIV/0!</v>
      </c>
      <c r="E14" s="915">
        <f>IF(E3&lt;='0 Úvod'!$G$19+'0 Úvod'!$J$19-1,IF(E$3='0 Úvod'!$G$21,$F53,0),0)</f>
        <v>0</v>
      </c>
      <c r="F14" s="916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16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16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16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16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16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16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16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16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16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16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16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16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16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16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16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16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16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16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16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16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16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16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17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221"/>
      <c r="C15" s="127" t="s">
        <v>194</v>
      </c>
      <c r="D15" s="129" t="e">
        <f>SUM(E15:AC15,E31:AC31)</f>
        <v>#DIV/0!</v>
      </c>
      <c r="E15" s="222">
        <f>IF(E3&lt;='0 Úvod'!$G$19+'0 Úvod'!$J$19-1,SUM(E6:E14),0)</f>
        <v>0</v>
      </c>
      <c r="F15" s="222">
        <f>IF(F3&lt;='0 Úvod'!$G$19+'0 Úvod'!$J$19-1,SUM(F6:F14),0)</f>
        <v>0</v>
      </c>
      <c r="G15" s="222" t="e">
        <f>IF(G3&lt;='0 Úvod'!$G$19+'0 Úvod'!$J$19-1,SUM(G6:G14),0)</f>
        <v>#DIV/0!</v>
      </c>
      <c r="H15" s="222" t="e">
        <f>IF(H3&lt;='0 Úvod'!$G$19+'0 Úvod'!$J$19-1,SUM(H6:H14),0)</f>
        <v>#DIV/0!</v>
      </c>
      <c r="I15" s="222" t="e">
        <f>IF(I3&lt;='0 Úvod'!$G$19+'0 Úvod'!$J$19-1,SUM(I6:I14),0)</f>
        <v>#DIV/0!</v>
      </c>
      <c r="J15" s="222" t="e">
        <f>IF(J3&lt;='0 Úvod'!$G$19+'0 Úvod'!$J$19-1,SUM(J6:J14),0)</f>
        <v>#DIV/0!</v>
      </c>
      <c r="K15" s="222" t="e">
        <f>IF(K3&lt;='0 Úvod'!$G$19+'0 Úvod'!$J$19-1,SUM(K6:K14),0)</f>
        <v>#DIV/0!</v>
      </c>
      <c r="L15" s="222" t="e">
        <f>IF(L3&lt;='0 Úvod'!$G$19+'0 Úvod'!$J$19-1,SUM(L6:L14),0)</f>
        <v>#DIV/0!</v>
      </c>
      <c r="M15" s="222" t="e">
        <f>IF(M3&lt;='0 Úvod'!$G$19+'0 Úvod'!$J$19-1,SUM(M6:M14),0)</f>
        <v>#DIV/0!</v>
      </c>
      <c r="N15" s="222" t="e">
        <f>IF(N3&lt;='0 Úvod'!$G$19+'0 Úvod'!$J$19-1,SUM(N6:N14),0)</f>
        <v>#DIV/0!</v>
      </c>
      <c r="O15" s="222" t="e">
        <f>IF(O3&lt;='0 Úvod'!$G$19+'0 Úvod'!$J$19-1,SUM(O6:O14),0)</f>
        <v>#DIV/0!</v>
      </c>
      <c r="P15" s="222" t="e">
        <f>IF(P3&lt;='0 Úvod'!$G$19+'0 Úvod'!$J$19-1,SUM(P6:P14),0)</f>
        <v>#DIV/0!</v>
      </c>
      <c r="Q15" s="222" t="e">
        <f>IF(Q3&lt;='0 Úvod'!$G$19+'0 Úvod'!$J$19-1,SUM(Q6:Q14),0)</f>
        <v>#DIV/0!</v>
      </c>
      <c r="R15" s="222" t="e">
        <f>IF(R3&lt;='0 Úvod'!$G$19+'0 Úvod'!$J$19-1,SUM(R6:R14),0)</f>
        <v>#DIV/0!</v>
      </c>
      <c r="S15" s="222" t="e">
        <f>IF(S3&lt;='0 Úvod'!$G$19+'0 Úvod'!$J$19-1,SUM(S6:S14),0)</f>
        <v>#DIV/0!</v>
      </c>
      <c r="T15" s="222" t="e">
        <f>IF(T3&lt;='0 Úvod'!$G$19+'0 Úvod'!$J$19-1,SUM(T6:T14),0)</f>
        <v>#DIV/0!</v>
      </c>
      <c r="U15" s="222" t="e">
        <f>IF(U3&lt;='0 Úvod'!$G$19+'0 Úvod'!$J$19-1,SUM(U6:U14),0)</f>
        <v>#DIV/0!</v>
      </c>
      <c r="V15" s="222" t="e">
        <f>IF(V3&lt;='0 Úvod'!$G$19+'0 Úvod'!$J$19-1,SUM(V6:V14),0)</f>
        <v>#DIV/0!</v>
      </c>
      <c r="W15" s="222" t="e">
        <f>IF(W3&lt;='0 Úvod'!$G$19+'0 Úvod'!$J$19-1,SUM(W6:W14),0)</f>
        <v>#DIV/0!</v>
      </c>
      <c r="X15" s="222" t="e">
        <f>IF(X3&lt;='0 Úvod'!$G$19+'0 Úvod'!$J$19-1,SUM(X6:X14),0)</f>
        <v>#DIV/0!</v>
      </c>
      <c r="Y15" s="222" t="e">
        <f>IF(Y3&lt;='0 Úvod'!$G$19+'0 Úvod'!$J$19-1,SUM(Y6:Y14),0)</f>
        <v>#DIV/0!</v>
      </c>
      <c r="Z15" s="222" t="e">
        <f>IF(Z3&lt;='0 Úvod'!$G$19+'0 Úvod'!$J$19-1,SUM(Z6:Z14),0)</f>
        <v>#DIV/0!</v>
      </c>
      <c r="AA15" s="222" t="e">
        <f>IF(AA3&lt;='0 Úvod'!$G$19+'0 Úvod'!$J$19-1,SUM(AA6:AA14),0)</f>
        <v>#DIV/0!</v>
      </c>
      <c r="AB15" s="222" t="e">
        <f>IF(AB3&lt;='0 Úvod'!$G$19+'0 Úvod'!$J$19-1,SUM(AB6:AB14),0)</f>
        <v>#DIV/0!</v>
      </c>
      <c r="AC15" s="223" t="e">
        <f>IF(AC3&lt;='0 Úvod'!$G$19+'0 Úvod'!$J$19-1,SUM(AC6:AC14),0)</f>
        <v>#DIV/0!</v>
      </c>
    </row>
    <row r="16" spans="2:29" ht="12.75" thickBot="1">
      <c r="B16" s="224"/>
      <c r="C16" s="156" t="s">
        <v>126</v>
      </c>
      <c r="D16" s="225" t="e">
        <f>D5-D15</f>
        <v>#DIV/0!</v>
      </c>
      <c r="E16" s="226">
        <f>IF(E3='0 Úvod'!$G$19+'0 Úvod'!$J$19-1,'2 Zůstatková hodnota'!$D$16,0)</f>
        <v>0</v>
      </c>
      <c r="F16" s="226">
        <f>IF(F3='0 Úvod'!$G$19+'0 Úvod'!$J$19-1,'2 Zůstatková hodnota'!$D$16,0)</f>
        <v>0</v>
      </c>
      <c r="G16" s="226">
        <f>IF(G3='0 Úvod'!$G$19+'0 Úvod'!$J$19-1,'2 Zůstatková hodnota'!$D$16,0)</f>
        <v>0</v>
      </c>
      <c r="H16" s="226">
        <f>IF(H3='0 Úvod'!$G$19+'0 Úvod'!$J$19-1,'2 Zůstatková hodnota'!$D$16,0)</f>
        <v>0</v>
      </c>
      <c r="I16" s="226">
        <f>IF(I3='0 Úvod'!$G$19+'0 Úvod'!$J$19-1,'2 Zůstatková hodnota'!$D$16,0)</f>
        <v>0</v>
      </c>
      <c r="J16" s="226">
        <f>IF(J3='0 Úvod'!$G$19+'0 Úvod'!$J$19-1,'2 Zůstatková hodnota'!$D$16,0)</f>
        <v>0</v>
      </c>
      <c r="K16" s="226">
        <f>IF(K3='0 Úvod'!$G$19+'0 Úvod'!$J$19-1,'2 Zůstatková hodnota'!$D$16,0)</f>
        <v>0</v>
      </c>
      <c r="L16" s="226">
        <f>IF(L3='0 Úvod'!$G$19+'0 Úvod'!$J$19-1,'2 Zůstatková hodnota'!$D$16,0)</f>
        <v>0</v>
      </c>
      <c r="M16" s="226">
        <f>IF(M3='0 Úvod'!$G$19+'0 Úvod'!$J$19-1,'2 Zůstatková hodnota'!$D$16,0)</f>
        <v>0</v>
      </c>
      <c r="N16" s="226">
        <f>IF(N3='0 Úvod'!$G$19+'0 Úvod'!$J$19-1,'2 Zůstatková hodnota'!$D$16,0)</f>
        <v>0</v>
      </c>
      <c r="O16" s="226">
        <f>IF(O3='0 Úvod'!$G$19+'0 Úvod'!$J$19-1,'2 Zůstatková hodnota'!$D$16,0)</f>
        <v>0</v>
      </c>
      <c r="P16" s="226">
        <f>IF(P3='0 Úvod'!$G$19+'0 Úvod'!$J$19-1,'2 Zůstatková hodnota'!$D$16,0)</f>
        <v>0</v>
      </c>
      <c r="Q16" s="226">
        <f>IF(Q3='0 Úvod'!$G$19+'0 Úvod'!$J$19-1,'2 Zůstatková hodnota'!$D$16,0)</f>
        <v>0</v>
      </c>
      <c r="R16" s="226">
        <f>IF(R3='0 Úvod'!$G$19+'0 Úvod'!$J$19-1,'2 Zůstatková hodnota'!$D$16,0)</f>
        <v>0</v>
      </c>
      <c r="S16" s="226">
        <f>IF(S3='0 Úvod'!$G$19+'0 Úvod'!$J$19-1,'2 Zůstatková hodnota'!$D$16,0)</f>
        <v>0</v>
      </c>
      <c r="T16" s="226">
        <f>IF(T3='0 Úvod'!$G$19+'0 Úvod'!$J$19-1,'2 Zůstatková hodnota'!$D$16,0)</f>
        <v>0</v>
      </c>
      <c r="U16" s="226">
        <f>IF(U3='0 Úvod'!$G$19+'0 Úvod'!$J$19-1,'2 Zůstatková hodnota'!$D$16,0)</f>
        <v>0</v>
      </c>
      <c r="V16" s="226">
        <f>IF(V3='0 Úvod'!$G$19+'0 Úvod'!$J$19-1,'2 Zůstatková hodnota'!$D$16,0)</f>
        <v>0</v>
      </c>
      <c r="W16" s="226">
        <f>IF(W3='0 Úvod'!$G$19+'0 Úvod'!$J$19-1,'2 Zůstatková hodnota'!$D$16,0)</f>
        <v>0</v>
      </c>
      <c r="X16" s="226">
        <f>IF(X3='0 Úvod'!$G$19+'0 Úvod'!$J$19-1,'2 Zůstatková hodnota'!$D$16,0)</f>
        <v>0</v>
      </c>
      <c r="Y16" s="226">
        <f>IF(Y3='0 Úvod'!$G$19+'0 Úvod'!$J$19-1,'2 Zůstatková hodnota'!$D$16,0)</f>
        <v>0</v>
      </c>
      <c r="Z16" s="226">
        <f>IF(Z3='0 Úvod'!$G$19+'0 Úvod'!$J$19-1,'2 Zůstatková hodnota'!$D$16,0)</f>
        <v>0</v>
      </c>
      <c r="AA16" s="226">
        <f>IF(AA3='0 Úvod'!$G$19+'0 Úvod'!$J$19-1,'2 Zůstatková hodnota'!$D$16,0)</f>
        <v>0</v>
      </c>
      <c r="AB16" s="226">
        <f>IF(AB3='0 Úvod'!$G$19+'0 Úvod'!$J$19-1,'2 Zůstatková hodnota'!$D$16,0)</f>
        <v>0</v>
      </c>
      <c r="AC16" s="227">
        <f>IF(AC3='0 Úvod'!$G$19+'0 Úvod'!$J$19-1,'2 Zůstatková hodnota'!$D$16,0)</f>
        <v>0</v>
      </c>
    </row>
    <row r="17" spans="2:29" ht="12" thickBot="1">
      <c r="B17" s="72"/>
      <c r="C17" s="71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2:29" ht="12.75">
      <c r="B18" s="108" t="s">
        <v>35</v>
      </c>
      <c r="C18" s="109" t="s">
        <v>78</v>
      </c>
      <c r="D18" s="110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</row>
    <row r="19" spans="2:29" ht="13.5" thickBot="1">
      <c r="B19" s="111" t="s">
        <v>26</v>
      </c>
      <c r="C19" s="206"/>
      <c r="D19" s="968"/>
      <c r="E19" s="134">
        <f>AC3+1</f>
        <v>2039</v>
      </c>
      <c r="F19" s="135">
        <f>E19+1</f>
        <v>2040</v>
      </c>
      <c r="G19" s="135">
        <f aca="true" t="shared" si="4" ref="G19:S19">F19+1</f>
        <v>2041</v>
      </c>
      <c r="H19" s="135">
        <f t="shared" si="4"/>
        <v>2042</v>
      </c>
      <c r="I19" s="135">
        <f t="shared" si="4"/>
        <v>2043</v>
      </c>
      <c r="J19" s="135">
        <f t="shared" si="4"/>
        <v>2044</v>
      </c>
      <c r="K19" s="135">
        <f t="shared" si="4"/>
        <v>2045</v>
      </c>
      <c r="L19" s="135">
        <f t="shared" si="4"/>
        <v>2046</v>
      </c>
      <c r="M19" s="135">
        <f t="shared" si="4"/>
        <v>2047</v>
      </c>
      <c r="N19" s="135">
        <f t="shared" si="4"/>
        <v>2048</v>
      </c>
      <c r="O19" s="135">
        <f t="shared" si="4"/>
        <v>2049</v>
      </c>
      <c r="P19" s="135">
        <f t="shared" si="4"/>
        <v>2050</v>
      </c>
      <c r="Q19" s="135">
        <f t="shared" si="4"/>
        <v>2051</v>
      </c>
      <c r="R19" s="135">
        <f t="shared" si="4"/>
        <v>2052</v>
      </c>
      <c r="S19" s="135">
        <f t="shared" si="4"/>
        <v>2053</v>
      </c>
      <c r="T19" s="135">
        <f aca="true" t="shared" si="5" ref="T19:AC19">S19+1</f>
        <v>2054</v>
      </c>
      <c r="U19" s="135">
        <f t="shared" si="5"/>
        <v>2055</v>
      </c>
      <c r="V19" s="135">
        <f t="shared" si="5"/>
        <v>2056</v>
      </c>
      <c r="W19" s="135">
        <f t="shared" si="5"/>
        <v>2057</v>
      </c>
      <c r="X19" s="135">
        <f t="shared" si="5"/>
        <v>2058</v>
      </c>
      <c r="Y19" s="135">
        <f t="shared" si="5"/>
        <v>2059</v>
      </c>
      <c r="Z19" s="135">
        <f t="shared" si="5"/>
        <v>2060</v>
      </c>
      <c r="AA19" s="135">
        <f t="shared" si="5"/>
        <v>2061</v>
      </c>
      <c r="AB19" s="135">
        <f t="shared" si="5"/>
        <v>2062</v>
      </c>
      <c r="AC19" s="136">
        <f t="shared" si="5"/>
        <v>2063</v>
      </c>
    </row>
    <row r="20" spans="2:29" ht="12.75" thickBot="1">
      <c r="B20" s="228"/>
      <c r="C20" s="208"/>
      <c r="D20" s="96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</row>
    <row r="21" spans="2:29" ht="12">
      <c r="B21" s="229"/>
      <c r="C21" s="210" t="s">
        <v>177</v>
      </c>
      <c r="D21" s="230"/>
      <c r="E21" s="212">
        <f>'1 Celkové investiční náklady'!G26</f>
        <v>0</v>
      </c>
      <c r="F21" s="213">
        <f>'1 Celkové investiční náklady'!H26</f>
        <v>0</v>
      </c>
      <c r="G21" s="213">
        <f>'1 Celkové investiční náklady'!I26</f>
        <v>0</v>
      </c>
      <c r="H21" s="213">
        <f>'1 Celkové investiční náklady'!J26</f>
        <v>0</v>
      </c>
      <c r="I21" s="213">
        <f>'1 Celkové investiční náklady'!K26</f>
        <v>0</v>
      </c>
      <c r="J21" s="213">
        <f>'1 Celkové investiční náklady'!L26</f>
        <v>0</v>
      </c>
      <c r="K21" s="213">
        <f>'1 Celkové investiční náklady'!M26</f>
        <v>0</v>
      </c>
      <c r="L21" s="213">
        <f>'1 Celkové investiční náklady'!N26</f>
        <v>0</v>
      </c>
      <c r="M21" s="213">
        <f>'1 Celkové investiční náklady'!O26</f>
        <v>0</v>
      </c>
      <c r="N21" s="213">
        <f>'1 Celkové investiční náklady'!P26</f>
        <v>0</v>
      </c>
      <c r="O21" s="213">
        <f>'1 Celkové investiční náklady'!Q26</f>
        <v>0</v>
      </c>
      <c r="P21" s="213">
        <f>'1 Celkové investiční náklady'!R26</f>
        <v>0</v>
      </c>
      <c r="Q21" s="213">
        <f>'1 Celkové investiční náklady'!S26</f>
        <v>0</v>
      </c>
      <c r="R21" s="213">
        <f>'1 Celkové investiční náklady'!T26</f>
        <v>0</v>
      </c>
      <c r="S21" s="213">
        <f>'1 Celkové investiční náklady'!U26</f>
        <v>0</v>
      </c>
      <c r="T21" s="213">
        <f>'1 Celkové investiční náklady'!V26</f>
        <v>0</v>
      </c>
      <c r="U21" s="213">
        <f>'1 Celkové investiční náklady'!W26</f>
        <v>0</v>
      </c>
      <c r="V21" s="213">
        <f>'1 Celkové investiční náklady'!X26</f>
        <v>0</v>
      </c>
      <c r="W21" s="213">
        <f>'1 Celkové investiční náklady'!Y26</f>
        <v>0</v>
      </c>
      <c r="X21" s="213">
        <f>'1 Celkové investiční náklady'!Z26</f>
        <v>0</v>
      </c>
      <c r="Y21" s="213">
        <f>'1 Celkové investiční náklady'!AA26</f>
        <v>0</v>
      </c>
      <c r="Z21" s="213">
        <f>'1 Celkové investiční náklady'!AB26</f>
        <v>0</v>
      </c>
      <c r="AA21" s="213">
        <f>'1 Celkové investiční náklady'!AC26</f>
        <v>0</v>
      </c>
      <c r="AB21" s="213">
        <f>'1 Celkové investiční náklady'!AD26</f>
        <v>0</v>
      </c>
      <c r="AC21" s="214">
        <f>'1 Celkové investiční náklady'!AE26</f>
        <v>0</v>
      </c>
    </row>
    <row r="22" spans="2:29" ht="12">
      <c r="B22" s="218"/>
      <c r="C22" s="216" t="str">
        <f>C6</f>
        <v>Zabezpečovací zařízení</v>
      </c>
      <c r="D22" s="231"/>
      <c r="E22" s="915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16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16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16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16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16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16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16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16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16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16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16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16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16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16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16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16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16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16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16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16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16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16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16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17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2">
      <c r="B23" s="218"/>
      <c r="C23" s="120" t="str">
        <f>C7</f>
        <v>Sdělovací zařízení</v>
      </c>
      <c r="D23" s="231"/>
      <c r="E23" s="915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16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16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16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16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16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16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16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16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16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16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16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16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16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16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16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16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16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16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16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16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16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16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16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17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2">
      <c r="B24" s="218"/>
      <c r="C24" s="120" t="str">
        <f aca="true" t="shared" si="6" ref="C24:C29">C8</f>
        <v>Silnoproudé rozvody a zařízení</v>
      </c>
      <c r="D24" s="231"/>
      <c r="E24" s="915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16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16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16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16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16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16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16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16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16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16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16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16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16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16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16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16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16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16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16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16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16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16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16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17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2">
      <c r="B25" s="218"/>
      <c r="C25" s="120" t="str">
        <f t="shared" si="6"/>
        <v>Železniční svršek a spodek</v>
      </c>
      <c r="D25" s="231"/>
      <c r="E25" s="915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16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16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16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16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16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16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16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16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16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16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16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16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16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16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16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16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16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16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16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16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16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16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16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17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2">
      <c r="B26" s="218"/>
      <c r="C26" s="120" t="str">
        <f t="shared" si="6"/>
        <v>Mosty, propustky, tunely, komunikace a zpevněné plochy</v>
      </c>
      <c r="D26" s="231"/>
      <c r="E26" s="915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16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16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16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16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16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16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16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16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16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16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16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16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16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16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16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16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16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16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16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16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16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16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16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17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2">
      <c r="B27" s="218"/>
      <c r="C27" s="120" t="str">
        <f t="shared" si="6"/>
        <v>Trakce</v>
      </c>
      <c r="D27" s="231"/>
      <c r="E27" s="915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16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16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16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16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16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16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16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16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16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16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16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16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16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16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16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16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16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16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16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16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16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16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16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17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2">
      <c r="B28" s="218"/>
      <c r="C28" s="120" t="str">
        <f t="shared" si="6"/>
        <v>Inženýrské sítě (trubní vedení, kabelovody)</v>
      </c>
      <c r="D28" s="231"/>
      <c r="E28" s="915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16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16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16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16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16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16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16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16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16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16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16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16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16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16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16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16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16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16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16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16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16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16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16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17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2">
      <c r="B29" s="218"/>
      <c r="C29" s="120" t="str">
        <f t="shared" si="6"/>
        <v>Pozemní stavby, nástupiště a přístřešky</v>
      </c>
      <c r="D29" s="231"/>
      <c r="E29" s="915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16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16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16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16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16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16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16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16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16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16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16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16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16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16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16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16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16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16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16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16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16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16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16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17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2">
      <c r="B30" s="218"/>
      <c r="C30" s="124" t="str">
        <f>C14</f>
        <v>Objekty ochrany životního prostředí</v>
      </c>
      <c r="D30" s="232"/>
      <c r="E30" s="915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16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16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16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16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16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16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16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16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16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16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16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16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16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16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16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16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16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16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16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16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16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16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16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17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221"/>
      <c r="C31" s="127" t="s">
        <v>194</v>
      </c>
      <c r="D31" s="233"/>
      <c r="E31" s="222" t="e">
        <f>IF(E19&lt;='0 Úvod'!$G$19+'0 Úvod'!$J$19-1,SUM(E22:E30),0)</f>
        <v>#DIV/0!</v>
      </c>
      <c r="F31" s="222" t="e">
        <f>IF(F19&lt;='0 Úvod'!$G$19+'0 Úvod'!$J$19-1,SUM(F22:F30),0)</f>
        <v>#DIV/0!</v>
      </c>
      <c r="G31" s="222" t="e">
        <f>IF(G19&lt;='0 Úvod'!$G$19+'0 Úvod'!$J$19-1,SUM(G22:G30),0)</f>
        <v>#DIV/0!</v>
      </c>
      <c r="H31" s="222" t="e">
        <f>IF(H19&lt;='0 Úvod'!$G$19+'0 Úvod'!$J$19-1,SUM(H22:H30),0)</f>
        <v>#DIV/0!</v>
      </c>
      <c r="I31" s="222" t="e">
        <f>IF(I19&lt;='0 Úvod'!$G$19+'0 Úvod'!$J$19-1,SUM(I22:I30),0)</f>
        <v>#DIV/0!</v>
      </c>
      <c r="J31" s="222">
        <f>IF(J19&lt;='0 Úvod'!$G$19+'0 Úvod'!$J$19-1,SUM(J22:J30),0)</f>
        <v>0</v>
      </c>
      <c r="K31" s="222">
        <f>IF(K19&lt;='0 Úvod'!$G$19+'0 Úvod'!$J$19-1,SUM(K22:K30),0)</f>
        <v>0</v>
      </c>
      <c r="L31" s="222">
        <f>IF(L19&lt;='0 Úvod'!$G$19+'0 Úvod'!$J$19-1,SUM(L22:L30),0)</f>
        <v>0</v>
      </c>
      <c r="M31" s="222">
        <f>IF(M19&lt;='0 Úvod'!$G$19+'0 Úvod'!$J$19-1,SUM(M22:M30),0)</f>
        <v>0</v>
      </c>
      <c r="N31" s="222">
        <f>IF(N19&lt;='0 Úvod'!$G$19+'0 Úvod'!$J$19-1,SUM(N22:N30),0)</f>
        <v>0</v>
      </c>
      <c r="O31" s="222">
        <f>IF(O19&lt;='0 Úvod'!$G$19+'0 Úvod'!$J$19-1,SUM(O22:O30),0)</f>
        <v>0</v>
      </c>
      <c r="P31" s="222">
        <f>IF(P19&lt;='0 Úvod'!$G$19+'0 Úvod'!$J$19-1,SUM(P22:P30),0)</f>
        <v>0</v>
      </c>
      <c r="Q31" s="222">
        <f>IF(Q19&lt;='0 Úvod'!$G$19+'0 Úvod'!$J$19-1,SUM(Q22:Q30),0)</f>
        <v>0</v>
      </c>
      <c r="R31" s="222">
        <f>IF(R19&lt;='0 Úvod'!$G$19+'0 Úvod'!$J$19-1,SUM(R22:R30),0)</f>
        <v>0</v>
      </c>
      <c r="S31" s="222">
        <f>IF(S19&lt;='0 Úvod'!$G$19+'0 Úvod'!$J$19-1,SUM(S22:S30),0)</f>
        <v>0</v>
      </c>
      <c r="T31" s="222">
        <f>IF(T19&lt;='0 Úvod'!$G$19+'0 Úvod'!$J$19-1,SUM(T22:T30),0)</f>
        <v>0</v>
      </c>
      <c r="U31" s="222">
        <f>IF(U19&lt;='0 Úvod'!$G$19+'0 Úvod'!$J$19-1,SUM(U22:U30),0)</f>
        <v>0</v>
      </c>
      <c r="V31" s="222">
        <f>IF(V19&lt;='0 Úvod'!$G$19+'0 Úvod'!$J$19-1,SUM(V22:V30),0)</f>
        <v>0</v>
      </c>
      <c r="W31" s="222">
        <f>IF(W19&lt;='0 Úvod'!$G$19+'0 Úvod'!$J$19-1,SUM(W22:W30),0)</f>
        <v>0</v>
      </c>
      <c r="X31" s="222">
        <f>IF(X19&lt;='0 Úvod'!$G$19+'0 Úvod'!$J$19-1,SUM(X22:X30),0)</f>
        <v>0</v>
      </c>
      <c r="Y31" s="222">
        <f>IF(Y19&lt;='0 Úvod'!$G$19+'0 Úvod'!$J$19-1,SUM(Y22:Y30),0)</f>
        <v>0</v>
      </c>
      <c r="Z31" s="222">
        <f>IF(Z19&lt;='0 Úvod'!$G$19+'0 Úvod'!$J$19-1,SUM(Z22:Z30),0)</f>
        <v>0</v>
      </c>
      <c r="AA31" s="222">
        <f>IF(AA19&lt;='0 Úvod'!$G$19+'0 Úvod'!$J$19-1,SUM(AA22:AA30),0)</f>
        <v>0</v>
      </c>
      <c r="AB31" s="222">
        <f>IF(AB19&lt;='0 Úvod'!$G$19+'0 Úvod'!$J$19-1,SUM(AB22:AB30),0)</f>
        <v>0</v>
      </c>
      <c r="AC31" s="223">
        <f>IF(AC19&lt;='0 Úvod'!$G$19+'0 Úvod'!$J$19-1,SUM(AC22:AC30),0)</f>
        <v>0</v>
      </c>
    </row>
    <row r="32" spans="2:29" ht="12.75" thickBot="1">
      <c r="B32" s="224"/>
      <c r="C32" s="156" t="s">
        <v>126</v>
      </c>
      <c r="D32" s="234"/>
      <c r="E32" s="226">
        <f>IF(E19='0 Úvod'!$G$19+'0 Úvod'!$J$19-1,'2 Zůstatková hodnota'!$D$16,0)</f>
        <v>0</v>
      </c>
      <c r="F32" s="226">
        <f>IF(F19='0 Úvod'!$G$19+'0 Úvod'!$J$19-1,'2 Zůstatková hodnota'!$D$16,0)</f>
        <v>0</v>
      </c>
      <c r="G32" s="226">
        <f>IF(G19='0 Úvod'!$G$19+'0 Úvod'!$J$19-1,'2 Zůstatková hodnota'!$D$16,0)</f>
        <v>0</v>
      </c>
      <c r="H32" s="226">
        <f>IF(H19='0 Úvod'!$G$19+'0 Úvod'!$J$19-1,'2 Zůstatková hodnota'!$D$16,0)</f>
        <v>0</v>
      </c>
      <c r="I32" s="226" t="e">
        <f>IF(I19='0 Úvod'!$G$19+'0 Úvod'!$J$19-1,'2 Zůstatková hodnota'!$D$16,0)</f>
        <v>#DIV/0!</v>
      </c>
      <c r="J32" s="226">
        <f>IF(J19='0 Úvod'!$G$19+'0 Úvod'!$J$19-1,'2 Zůstatková hodnota'!$D$16,0)</f>
        <v>0</v>
      </c>
      <c r="K32" s="226">
        <f>IF(K19='0 Úvod'!$G$19+'0 Úvod'!$J$19-1,'2 Zůstatková hodnota'!$D$16,0)</f>
        <v>0</v>
      </c>
      <c r="L32" s="226">
        <f>IF(L19='0 Úvod'!$G$19+'0 Úvod'!$J$19-1,'2 Zůstatková hodnota'!$D$16,0)</f>
        <v>0</v>
      </c>
      <c r="M32" s="226">
        <f>IF(M19='0 Úvod'!$G$19+'0 Úvod'!$J$19-1,'2 Zůstatková hodnota'!$D$16,0)</f>
        <v>0</v>
      </c>
      <c r="N32" s="226">
        <f>IF(N19='0 Úvod'!$G$19+'0 Úvod'!$J$19-1,'2 Zůstatková hodnota'!$D$16,0)</f>
        <v>0</v>
      </c>
      <c r="O32" s="226">
        <f>IF(O19='0 Úvod'!$G$19+'0 Úvod'!$J$19-1,'2 Zůstatková hodnota'!$D$16,0)</f>
        <v>0</v>
      </c>
      <c r="P32" s="226">
        <f>IF(P19='0 Úvod'!$G$19+'0 Úvod'!$J$19-1,'2 Zůstatková hodnota'!$D$16,0)</f>
        <v>0</v>
      </c>
      <c r="Q32" s="226">
        <f>IF(Q19='0 Úvod'!$G$19+'0 Úvod'!$J$19-1,'2 Zůstatková hodnota'!$D$16,0)</f>
        <v>0</v>
      </c>
      <c r="R32" s="226">
        <f>IF(R19='0 Úvod'!$G$19+'0 Úvod'!$J$19-1,'2 Zůstatková hodnota'!$D$16,0)</f>
        <v>0</v>
      </c>
      <c r="S32" s="226">
        <f>IF(S19='0 Úvod'!$G$19+'0 Úvod'!$J$19-1,'2 Zůstatková hodnota'!$D$16,0)</f>
        <v>0</v>
      </c>
      <c r="T32" s="226">
        <f>IF(T19='0 Úvod'!$G$19+'0 Úvod'!$J$19-1,'2 Zůstatková hodnota'!$D$16,0)</f>
        <v>0</v>
      </c>
      <c r="U32" s="226">
        <f>IF(U19='0 Úvod'!$G$19+'0 Úvod'!$J$19-1,'2 Zůstatková hodnota'!$D$16,0)</f>
        <v>0</v>
      </c>
      <c r="V32" s="226">
        <f>IF(V19='0 Úvod'!$G$19+'0 Úvod'!$J$19-1,'2 Zůstatková hodnota'!$D$16,0)</f>
        <v>0</v>
      </c>
      <c r="W32" s="226">
        <f>IF(W19='0 Úvod'!$G$19+'0 Úvod'!$J$19-1,'2 Zůstatková hodnota'!$D$16,0)</f>
        <v>0</v>
      </c>
      <c r="X32" s="226">
        <f>IF(X19='0 Úvod'!$G$19+'0 Úvod'!$J$19-1,'2 Zůstatková hodnota'!$D$16,0)</f>
        <v>0</v>
      </c>
      <c r="Y32" s="226">
        <f>IF(Y19='0 Úvod'!$G$19+'0 Úvod'!$J$19-1,'2 Zůstatková hodnota'!$D$16,0)</f>
        <v>0</v>
      </c>
      <c r="Z32" s="226">
        <f>IF(Z19='0 Úvod'!$G$19+'0 Úvod'!$J$19-1,'2 Zůstatková hodnota'!$D$16,0)</f>
        <v>0</v>
      </c>
      <c r="AA32" s="226">
        <f>IF(AA19='0 Úvod'!$G$19+'0 Úvod'!$J$19-1,'2 Zůstatková hodnota'!$D$16,0)</f>
        <v>0</v>
      </c>
      <c r="AB32" s="226">
        <f>IF(AB19='0 Úvod'!$G$19+'0 Úvod'!$J$19-1,'2 Zůstatková hodnota'!$D$16,0)</f>
        <v>0</v>
      </c>
      <c r="AC32" s="227">
        <f>IF(AC19='0 Úvod'!$G$19+'0 Úvod'!$J$19-1,'2 Zůstatková hodnota'!$D$16,0)</f>
        <v>0</v>
      </c>
    </row>
    <row r="33" spans="1:20" ht="11.25">
      <c r="A33" s="72"/>
      <c r="B33" s="72"/>
      <c r="C33" s="71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72"/>
    </row>
    <row r="34" spans="1:20" ht="12" thickBot="1">
      <c r="A34" s="72"/>
      <c r="B34" s="72"/>
      <c r="C34" s="72"/>
      <c r="D34" s="185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72"/>
    </row>
    <row r="35" spans="2:19" ht="22.5" customHeight="1" thickBot="1">
      <c r="B35" s="235" t="s">
        <v>36</v>
      </c>
      <c r="C35" s="236" t="s">
        <v>281</v>
      </c>
      <c r="D35" s="237">
        <f>'0 Úvod'!J19-('0 Úvod'!G21-'0 Úvod'!G19)</f>
        <v>28</v>
      </c>
      <c r="E35" s="238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40"/>
    </row>
    <row r="36" spans="2:19" ht="11.25">
      <c r="B36" s="241"/>
      <c r="C36" s="174" t="s">
        <v>84</v>
      </c>
      <c r="D36" s="242">
        <f>100/5</f>
        <v>20</v>
      </c>
      <c r="E36" s="243"/>
      <c r="F36" s="174" t="s">
        <v>88</v>
      </c>
      <c r="G36" s="174"/>
      <c r="H36" s="174"/>
      <c r="I36" s="244"/>
      <c r="J36" s="174"/>
      <c r="K36" s="242">
        <f>100/3.6</f>
        <v>27.77777777777778</v>
      </c>
      <c r="L36" s="174"/>
      <c r="M36" s="174" t="s">
        <v>248</v>
      </c>
      <c r="N36" s="244"/>
      <c r="O36" s="244"/>
      <c r="P36" s="244"/>
      <c r="Q36" s="174"/>
      <c r="R36" s="245">
        <f>100/5.5</f>
        <v>18.181818181818183</v>
      </c>
      <c r="S36" s="246"/>
    </row>
    <row r="37" spans="2:19" ht="11.25">
      <c r="B37" s="218"/>
      <c r="C37" s="247" t="s">
        <v>85</v>
      </c>
      <c r="D37" s="248">
        <f>IF((D36-$D$35)&lt;0,0,(D36-$D$35))</f>
        <v>0</v>
      </c>
      <c r="E37" s="249"/>
      <c r="F37" s="247" t="s">
        <v>89</v>
      </c>
      <c r="G37" s="247"/>
      <c r="H37" s="247"/>
      <c r="I37" s="250"/>
      <c r="J37" s="247"/>
      <c r="K37" s="248">
        <f>IF((K36-$D$35)&lt;0,0,(K36-$D$35))</f>
        <v>0</v>
      </c>
      <c r="L37" s="247"/>
      <c r="M37" s="247" t="s">
        <v>249</v>
      </c>
      <c r="N37" s="250"/>
      <c r="O37" s="250"/>
      <c r="P37" s="250"/>
      <c r="Q37" s="247"/>
      <c r="R37" s="251">
        <f>IF((R36-$D$35)&lt;0,0,(R36-$D$35))</f>
        <v>0</v>
      </c>
      <c r="S37" s="252"/>
    </row>
    <row r="38" spans="2:19" ht="11.25">
      <c r="B38" s="218"/>
      <c r="C38" s="247" t="s">
        <v>86</v>
      </c>
      <c r="D38" s="248">
        <f>100/6</f>
        <v>16.666666666666668</v>
      </c>
      <c r="E38" s="249"/>
      <c r="F38" s="247" t="s">
        <v>247</v>
      </c>
      <c r="G38" s="247"/>
      <c r="H38" s="247"/>
      <c r="I38" s="250"/>
      <c r="J38" s="247"/>
      <c r="K38" s="248">
        <f>100/2</f>
        <v>50</v>
      </c>
      <c r="L38" s="247"/>
      <c r="M38" s="247" t="s">
        <v>250</v>
      </c>
      <c r="N38" s="250"/>
      <c r="O38" s="250"/>
      <c r="P38" s="250"/>
      <c r="Q38" s="247"/>
      <c r="R38" s="251">
        <f>100/2</f>
        <v>50</v>
      </c>
      <c r="S38" s="252"/>
    </row>
    <row r="39" spans="2:19" ht="11.25">
      <c r="B39" s="218"/>
      <c r="C39" s="247" t="s">
        <v>87</v>
      </c>
      <c r="D39" s="248">
        <f>IF((D38-$D$35)&lt;0,0,(D38-$D$35))</f>
        <v>0</v>
      </c>
      <c r="E39" s="249"/>
      <c r="F39" s="247" t="s">
        <v>90</v>
      </c>
      <c r="G39" s="247"/>
      <c r="H39" s="247"/>
      <c r="I39" s="250"/>
      <c r="J39" s="247"/>
      <c r="K39" s="248">
        <f>IF((K38-$D$35)&lt;0,0,(K38-$D$35))</f>
        <v>22</v>
      </c>
      <c r="L39" s="247"/>
      <c r="M39" s="247" t="s">
        <v>251</v>
      </c>
      <c r="N39" s="250"/>
      <c r="O39" s="250"/>
      <c r="P39" s="250"/>
      <c r="Q39" s="247"/>
      <c r="R39" s="251">
        <f>IF((R38-$D$35)&lt;0,0,(R38-$D$35))</f>
        <v>22</v>
      </c>
      <c r="S39" s="252"/>
    </row>
    <row r="40" spans="2:19" ht="11.25">
      <c r="B40" s="218"/>
      <c r="C40" s="247" t="s">
        <v>245</v>
      </c>
      <c r="D40" s="248">
        <f>100/6</f>
        <v>16.666666666666668</v>
      </c>
      <c r="E40" s="249"/>
      <c r="F40" s="247" t="s">
        <v>91</v>
      </c>
      <c r="G40" s="247"/>
      <c r="H40" s="247"/>
      <c r="I40" s="250"/>
      <c r="J40" s="247"/>
      <c r="K40" s="248">
        <f>100/3.3</f>
        <v>30.303030303030305</v>
      </c>
      <c r="L40" s="247"/>
      <c r="M40" s="247" t="s">
        <v>252</v>
      </c>
      <c r="N40" s="250"/>
      <c r="O40" s="250"/>
      <c r="P40" s="250"/>
      <c r="Q40" s="247"/>
      <c r="R40" s="253">
        <f>100/5.5</f>
        <v>18.181818181818183</v>
      </c>
      <c r="S40" s="252"/>
    </row>
    <row r="41" spans="2:19" ht="12" thickBot="1">
      <c r="B41" s="176"/>
      <c r="C41" s="177" t="s">
        <v>246</v>
      </c>
      <c r="D41" s="254">
        <f>IF((D40-$D$35)&lt;0,0,(D40-$D$35))</f>
        <v>0</v>
      </c>
      <c r="E41" s="255"/>
      <c r="F41" s="177" t="s">
        <v>92</v>
      </c>
      <c r="G41" s="177"/>
      <c r="H41" s="177"/>
      <c r="I41" s="256"/>
      <c r="J41" s="177"/>
      <c r="K41" s="254">
        <f>IF((K40-$D$35)&lt;0,0,(K40-$D$35))</f>
        <v>2.3030303030303045</v>
      </c>
      <c r="L41" s="177"/>
      <c r="M41" s="177" t="s">
        <v>253</v>
      </c>
      <c r="N41" s="256"/>
      <c r="O41" s="256"/>
      <c r="P41" s="256"/>
      <c r="Q41" s="177"/>
      <c r="R41" s="257">
        <f>IF((R40-$D$35)&lt;0,0,(R40-$D$35))</f>
        <v>0</v>
      </c>
      <c r="S41" s="258"/>
    </row>
    <row r="42" spans="4:19" s="72" customFormat="1" ht="11.25">
      <c r="D42" s="186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4:19" s="72" customFormat="1" ht="12" thickBot="1">
      <c r="D43" s="186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2:19" s="72" customFormat="1" ht="22.5" customHeight="1" thickBot="1">
      <c r="B44" s="235" t="s">
        <v>37</v>
      </c>
      <c r="C44" s="259" t="s">
        <v>195</v>
      </c>
      <c r="D44" s="260" t="s">
        <v>93</v>
      </c>
      <c r="E44" s="260" t="s">
        <v>93</v>
      </c>
      <c r="F44" s="261" t="s">
        <v>195</v>
      </c>
      <c r="H44" s="276" t="s">
        <v>42</v>
      </c>
      <c r="I44" s="277" t="s">
        <v>294</v>
      </c>
      <c r="J44" s="278"/>
      <c r="K44" s="278"/>
      <c r="L44" s="279"/>
      <c r="M44" s="969" t="e">
        <f>D16*(1/(1+'0 Úvod'!D21)^('0 Úvod'!J19-1))</f>
        <v>#DIV/0!</v>
      </c>
      <c r="N44" s="970"/>
      <c r="O44" s="183"/>
      <c r="P44" s="183"/>
      <c r="Q44" s="183"/>
      <c r="R44" s="183"/>
      <c r="S44" s="183"/>
    </row>
    <row r="45" spans="2:19" s="72" customFormat="1" ht="13.5" customHeight="1" thickBot="1">
      <c r="B45" s="241"/>
      <c r="C45" s="262" t="s">
        <v>79</v>
      </c>
      <c r="D45" s="263" t="e">
        <f>E45*(('1 Celkové investiční náklady'!$F$11-$E$54)/$E$55)</f>
        <v>#DIV/0!</v>
      </c>
      <c r="E45" s="187"/>
      <c r="F45" s="273" t="e">
        <f>D45/D36</f>
        <v>#DIV/0!</v>
      </c>
      <c r="H45" s="270"/>
      <c r="I45" s="280" t="s">
        <v>295</v>
      </c>
      <c r="J45" s="281"/>
      <c r="K45" s="281"/>
      <c r="L45" s="282"/>
      <c r="M45" s="971" t="e">
        <f>M44/'0 Úvod'!N19</f>
        <v>#DIV/0!</v>
      </c>
      <c r="N45" s="972"/>
      <c r="O45" s="183"/>
      <c r="P45" s="183"/>
      <c r="Q45" s="183"/>
      <c r="R45" s="183"/>
      <c r="S45" s="183"/>
    </row>
    <row r="46" spans="2:19" s="72" customFormat="1" ht="12.75">
      <c r="B46" s="218"/>
      <c r="C46" s="264" t="s">
        <v>80</v>
      </c>
      <c r="D46" s="265" t="e">
        <f>E46*(('1 Celkové investiční náklady'!$F$11-$E$54)/$E$55)</f>
        <v>#DIV/0!</v>
      </c>
      <c r="E46" s="188"/>
      <c r="F46" s="273" t="e">
        <f>D46/D38</f>
        <v>#DIV/0!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2:19" s="72" customFormat="1" ht="12.75">
      <c r="B47" s="218"/>
      <c r="C47" s="264" t="s">
        <v>240</v>
      </c>
      <c r="D47" s="265" t="e">
        <f>E47*(('1 Celkové investiční náklady'!$F$11-$E$54)/$E$55)</f>
        <v>#DIV/0!</v>
      </c>
      <c r="E47" s="188"/>
      <c r="F47" s="273" t="e">
        <f>D47/D40</f>
        <v>#DIV/0!</v>
      </c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2:19" s="72" customFormat="1" ht="12.75">
      <c r="B48" s="218"/>
      <c r="C48" s="264" t="s">
        <v>81</v>
      </c>
      <c r="D48" s="265" t="e">
        <f>E48*(('1 Celkové investiční náklady'!$F$11-$E$54)/$E$55)</f>
        <v>#DIV/0!</v>
      </c>
      <c r="E48" s="188"/>
      <c r="F48" s="273" t="e">
        <f>D48/K36</f>
        <v>#DIV/0!</v>
      </c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2:19" s="72" customFormat="1" ht="12.75">
      <c r="B49" s="218"/>
      <c r="C49" s="264" t="s">
        <v>241</v>
      </c>
      <c r="D49" s="265" t="e">
        <f>E49*(('1 Celkové investiční náklady'!$F$11-$E$54)/$E$55)</f>
        <v>#DIV/0!</v>
      </c>
      <c r="E49" s="188"/>
      <c r="F49" s="273" t="e">
        <f>D49/K38</f>
        <v>#DIV/0!</v>
      </c>
      <c r="G49" s="189"/>
      <c r="H49" s="189"/>
      <c r="I49" s="189"/>
      <c r="J49" s="189"/>
      <c r="K49" s="189"/>
      <c r="L49" s="183"/>
      <c r="M49" s="183"/>
      <c r="N49" s="183"/>
      <c r="O49" s="183"/>
      <c r="P49" s="183"/>
      <c r="Q49" s="183"/>
      <c r="R49" s="183"/>
      <c r="S49" s="183"/>
    </row>
    <row r="50" spans="2:19" s="72" customFormat="1" ht="12.75">
      <c r="B50" s="218"/>
      <c r="C50" s="264" t="s">
        <v>82</v>
      </c>
      <c r="D50" s="265" t="e">
        <f>E50*(('1 Celkové investiční náklady'!$F$11-$E$54)/$E$55)</f>
        <v>#DIV/0!</v>
      </c>
      <c r="E50" s="188"/>
      <c r="F50" s="273" t="e">
        <f>D50/K40</f>
        <v>#DIV/0!</v>
      </c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2:19" s="72" customFormat="1" ht="12.75">
      <c r="B51" s="218"/>
      <c r="C51" s="264" t="s">
        <v>326</v>
      </c>
      <c r="D51" s="265" t="e">
        <f>E51*(('1 Celkové investiční náklady'!$F$11-$E$54)/$E$55)</f>
        <v>#DIV/0!</v>
      </c>
      <c r="E51" s="188"/>
      <c r="F51" s="273" t="e">
        <f>D51/R36</f>
        <v>#DIV/0!</v>
      </c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2:19" s="72" customFormat="1" ht="12.75">
      <c r="B52" s="218"/>
      <c r="C52" s="264" t="s">
        <v>242</v>
      </c>
      <c r="D52" s="265" t="e">
        <f>E52*(('1 Celkové investiční náklady'!$F$11-$E$54)/$E$55)</f>
        <v>#DIV/0!</v>
      </c>
      <c r="E52" s="188"/>
      <c r="F52" s="273" t="e">
        <f>D52/R38</f>
        <v>#DIV/0!</v>
      </c>
      <c r="G52" s="183"/>
      <c r="H52" s="190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2:19" s="72" customFormat="1" ht="12.75">
      <c r="B53" s="218"/>
      <c r="C53" s="266" t="s">
        <v>243</v>
      </c>
      <c r="D53" s="265" t="e">
        <f>E53*(('1 Celkové investiční náklady'!$F$11-$E$54)/$E$55)</f>
        <v>#DIV/0!</v>
      </c>
      <c r="E53" s="191"/>
      <c r="F53" s="274" t="e">
        <f>D53/R40</f>
        <v>#DIV/0!</v>
      </c>
      <c r="G53" s="183"/>
      <c r="H53" s="192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2:19" s="72" customFormat="1" ht="12" thickBot="1">
      <c r="B54" s="267"/>
      <c r="C54" s="268" t="s">
        <v>244</v>
      </c>
      <c r="D54" s="269">
        <f>E54</f>
        <v>0</v>
      </c>
      <c r="E54" s="275">
        <f>'1 Celkové investiční náklady'!F6</f>
        <v>0</v>
      </c>
      <c r="F54" s="275"/>
      <c r="G54" s="183"/>
      <c r="H54" s="192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2:19" s="72" customFormat="1" ht="12" thickBot="1">
      <c r="B55" s="270"/>
      <c r="C55" s="271" t="e">
        <f>IF(ROUND(D55,2)=ROUND(D5,2),"CELKEM","CHYBA")</f>
        <v>#DIV/0!</v>
      </c>
      <c r="D55" s="272" t="e">
        <f>SUM(D45:D54)</f>
        <v>#DIV/0!</v>
      </c>
      <c r="E55" s="272">
        <f>SUM(E45:E53)</f>
        <v>0</v>
      </c>
      <c r="F55" s="183"/>
      <c r="G55" s="183"/>
      <c r="H55" s="192"/>
      <c r="I55" s="193"/>
      <c r="J55" s="183"/>
      <c r="K55" s="183"/>
      <c r="L55" s="183"/>
      <c r="M55" s="183"/>
      <c r="N55" s="183"/>
      <c r="O55" s="183"/>
      <c r="P55" s="183"/>
      <c r="Q55" s="183"/>
      <c r="R55" s="183"/>
      <c r="S55" s="183"/>
    </row>
    <row r="56" spans="6:20" s="71" customFormat="1" ht="11.25">
      <c r="F56" s="194"/>
      <c r="G56" s="195"/>
      <c r="H56" s="192"/>
      <c r="I56" s="72"/>
      <c r="J56" s="195"/>
      <c r="K56" s="195"/>
      <c r="L56" s="195"/>
      <c r="M56" s="195"/>
      <c r="N56" s="195"/>
      <c r="O56" s="195"/>
      <c r="P56" s="195"/>
      <c r="Q56" s="195"/>
      <c r="R56" s="195"/>
      <c r="T56" s="196"/>
    </row>
    <row r="57" spans="8:21" s="72" customFormat="1" ht="11.25">
      <c r="H57" s="197"/>
      <c r="I57" s="198"/>
      <c r="U57" s="193"/>
    </row>
    <row r="58" spans="6:11" s="72" customFormat="1" ht="11.25">
      <c r="F58" s="198"/>
      <c r="G58" s="198"/>
      <c r="J58" s="198"/>
      <c r="K58" s="198"/>
    </row>
    <row r="59" spans="3:7" ht="11.25">
      <c r="C59" s="199"/>
      <c r="D59" s="200"/>
      <c r="E59" s="201"/>
      <c r="F59" s="199"/>
      <c r="G59" s="199"/>
    </row>
    <row r="60" spans="3:7" ht="15">
      <c r="C60" s="202"/>
      <c r="D60" s="203"/>
      <c r="E60" s="204"/>
      <c r="F60" s="205"/>
      <c r="G60" s="205"/>
    </row>
    <row r="61" spans="3:7" ht="11.25">
      <c r="C61" s="199"/>
      <c r="D61" s="200"/>
      <c r="E61" s="201"/>
      <c r="F61" s="199"/>
      <c r="G61" s="199"/>
    </row>
    <row r="62" spans="3:7" ht="11.25">
      <c r="C62" s="199"/>
      <c r="D62" s="200"/>
      <c r="E62" s="201"/>
      <c r="F62" s="199"/>
      <c r="G62" s="199"/>
    </row>
    <row r="63" spans="3:7" ht="15">
      <c r="C63" s="202"/>
      <c r="D63" s="203"/>
      <c r="E63" s="204"/>
      <c r="F63" s="205"/>
      <c r="G63" s="205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7" operator="equal" stopIfTrue="1">
      <formula>"CHYBA"</formula>
    </cfRule>
    <cfRule type="cellIs" priority="2" dxfId="7" operator="equal" stopIfTrue="1">
      <formula>"CHYBA"</formula>
    </cfRule>
  </conditionalFormatting>
  <printOptions/>
  <pageMargins left="0.3937007874015748" right="0.35433070866141736" top="0.984251968503937" bottom="0.7874015748031497" header="0.3937007874015748" footer="0.3937007874015748"/>
  <pageSetup fitToHeight="1" fitToWidth="1" horizontalDpi="600" verticalDpi="600" orientation="landscape" paperSize="9" scale="42" r:id="rId2"/>
  <headerFooter alignWithMargins="0">
    <oddFooter>&amp;L&amp;A&amp;C15.9.2010</oddFooter>
  </headerFooter>
  <ignoredErrors>
    <ignoredError sqref="D38:K40 R38:R4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AI18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283" customWidth="1"/>
    <col min="2" max="2" width="5.7109375" style="283" customWidth="1"/>
    <col min="3" max="3" width="37.7109375" style="283" customWidth="1"/>
    <col min="4" max="4" width="12.7109375" style="283" customWidth="1"/>
    <col min="5" max="5" width="12.00390625" style="283" customWidth="1"/>
    <col min="6" max="15" width="10.7109375" style="283" customWidth="1"/>
    <col min="16" max="29" width="10.57421875" style="283" customWidth="1"/>
    <col min="30" max="34" width="8.7109375" style="283" bestFit="1" customWidth="1"/>
    <col min="35" max="35" width="10.421875" style="283" bestFit="1" customWidth="1"/>
    <col min="36" max="16384" width="9.140625" style="283" customWidth="1"/>
  </cols>
  <sheetData>
    <row r="1" ht="12" thickBot="1">
      <c r="E1" s="284"/>
    </row>
    <row r="2" spans="1:29" ht="12.75">
      <c r="A2" s="285"/>
      <c r="B2" s="108" t="s">
        <v>32</v>
      </c>
      <c r="C2" s="109" t="s">
        <v>94</v>
      </c>
      <c r="D2" s="332"/>
      <c r="E2" s="980">
        <f>'1 Celkové investiční náklady'!G3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1:29" ht="13.5" thickBot="1">
      <c r="A3" s="285"/>
      <c r="B3" s="333" t="s">
        <v>25</v>
      </c>
      <c r="C3" s="334" t="s">
        <v>95</v>
      </c>
      <c r="D3" s="335" t="s">
        <v>83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93"/>
    </row>
    <row r="4" spans="1:29" ht="12">
      <c r="A4" s="199"/>
      <c r="B4" s="336"/>
      <c r="C4" s="337" t="s">
        <v>97</v>
      </c>
      <c r="D4" s="338">
        <f>SUM(E4:AC4,E11:AC11)</f>
        <v>0</v>
      </c>
      <c r="E4" s="286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</row>
    <row r="5" spans="1:29" ht="12">
      <c r="A5" s="199"/>
      <c r="B5" s="339"/>
      <c r="C5" s="340" t="s">
        <v>236</v>
      </c>
      <c r="D5" s="341">
        <f>SUM(E5:AC5,E12:AC12)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 customHeight="1">
      <c r="A6" s="285"/>
      <c r="B6" s="339"/>
      <c r="C6" s="342" t="s">
        <v>98</v>
      </c>
      <c r="D6" s="341">
        <f>SUM(E6:AC6,E13:AC13)</f>
        <v>0</v>
      </c>
      <c r="E6" s="346">
        <f>IF(E2&lt;=('0 Úvod'!$G$19+'0 Úvod'!$J$19-1),SUMPRODUCT(E72:E84,E106:E118)+E120,0)</f>
        <v>0</v>
      </c>
      <c r="F6" s="346">
        <f>IF(F2&lt;=('0 Úvod'!$G$19+'0 Úvod'!$J$19-1),SUMPRODUCT(F72:F84,F106:F118)+F120,0)</f>
        <v>0</v>
      </c>
      <c r="G6" s="346">
        <f>IF(G2&lt;=('0 Úvod'!$G$19+'0 Úvod'!$J$19-1),SUMPRODUCT(G72:G84,G106:G118)+G120,0)</f>
        <v>0</v>
      </c>
      <c r="H6" s="346">
        <f>IF(H2&lt;=('0 Úvod'!$G$19+'0 Úvod'!$J$19-1),SUMPRODUCT(H72:H84,H106:H118)+H120,0)</f>
        <v>0</v>
      </c>
      <c r="I6" s="346">
        <f>IF(I2&lt;=('0 Úvod'!$G$19+'0 Úvod'!$J$19-1),SUMPRODUCT(I72:I84,I106:I118)+I120,0)</f>
        <v>0</v>
      </c>
      <c r="J6" s="346">
        <f>IF(J2&lt;=('0 Úvod'!$G$19+'0 Úvod'!$J$19-1),SUMPRODUCT(J72:J84,J106:J118)+J120,0)</f>
        <v>0</v>
      </c>
      <c r="K6" s="346">
        <f>IF(K2&lt;=('0 Úvod'!$G$19+'0 Úvod'!$J$19-1),SUMPRODUCT(K72:K84,K106:K118)+K120,0)</f>
        <v>0</v>
      </c>
      <c r="L6" s="346">
        <f>IF(L2&lt;=('0 Úvod'!$G$19+'0 Úvod'!$J$19-1),SUMPRODUCT(L72:L84,L106:L118)+L120,0)</f>
        <v>0</v>
      </c>
      <c r="M6" s="346">
        <f>IF(M2&lt;=('0 Úvod'!$G$19+'0 Úvod'!$J$19-1),SUMPRODUCT(M72:M84,M106:M118)+M120,0)</f>
        <v>0</v>
      </c>
      <c r="N6" s="346">
        <f>IF(N2&lt;=('0 Úvod'!$G$19+'0 Úvod'!$J$19-1),SUMPRODUCT(N72:N84,N106:N118)+N120,0)</f>
        <v>0</v>
      </c>
      <c r="O6" s="346">
        <f>IF(O2&lt;=('0 Úvod'!$G$19+'0 Úvod'!$J$19-1),SUMPRODUCT(O72:O84,O106:O118)+O120,0)</f>
        <v>0</v>
      </c>
      <c r="P6" s="346">
        <f>IF(P2&lt;=('0 Úvod'!$G$19+'0 Úvod'!$J$19-1),SUMPRODUCT(P72:P84,P106:P118)+P120,0)</f>
        <v>0</v>
      </c>
      <c r="Q6" s="346">
        <f>IF(Q2&lt;=('0 Úvod'!$G$19+'0 Úvod'!$J$19-1),SUMPRODUCT(Q72:Q84,Q106:Q118)+Q120,0)</f>
        <v>0</v>
      </c>
      <c r="R6" s="346">
        <f>IF(R2&lt;=('0 Úvod'!$G$19+'0 Úvod'!$J$19-1),SUMPRODUCT(R72:R84,R106:R118)+R120,0)</f>
        <v>0</v>
      </c>
      <c r="S6" s="346">
        <f>IF(S2&lt;=('0 Úvod'!$G$19+'0 Úvod'!$J$19-1),SUMPRODUCT(S72:S84,S106:S118)+S120,0)</f>
        <v>0</v>
      </c>
      <c r="T6" s="346">
        <f>IF(T2&lt;=('0 Úvod'!$G$19+'0 Úvod'!$J$19-1),SUMPRODUCT(T72:T84,T106:T118)+T120,0)</f>
        <v>0</v>
      </c>
      <c r="U6" s="346">
        <f>IF(U2&lt;=('0 Úvod'!$G$19+'0 Úvod'!$J$19-1),SUMPRODUCT(U72:U84,U106:U118)+U120,0)</f>
        <v>0</v>
      </c>
      <c r="V6" s="346">
        <f>IF(V2&lt;=('0 Úvod'!$G$19+'0 Úvod'!$J$19-1),SUMPRODUCT(V72:V84,V106:V118)+V120,0)</f>
        <v>0</v>
      </c>
      <c r="W6" s="346">
        <f>IF(W2&lt;=('0 Úvod'!$G$19+'0 Úvod'!$J$19-1),SUMPRODUCT(W72:W84,W106:W118)+W120,0)</f>
        <v>0</v>
      </c>
      <c r="X6" s="346">
        <f>IF(X2&lt;=('0 Úvod'!$G$19+'0 Úvod'!$J$19-1),SUMPRODUCT(X72:X84,X106:X118)+X120,0)</f>
        <v>0</v>
      </c>
      <c r="Y6" s="346">
        <f>IF(Y2&lt;=('0 Úvod'!$G$19+'0 Úvod'!$J$19-1),SUMPRODUCT(Y72:Y84,Y106:Y118)+Y120,0)</f>
        <v>0</v>
      </c>
      <c r="Z6" s="346">
        <f>IF(Z2&lt;=('0 Úvod'!$G$19+'0 Úvod'!$J$19-1),SUMPRODUCT(Z72:Z84,Z106:Z118)+Z120,0)</f>
        <v>0</v>
      </c>
      <c r="AA6" s="346">
        <f>IF(AA2&lt;=('0 Úvod'!$G$19+'0 Úvod'!$J$19-1),SUMPRODUCT(AA72:AA84,AA106:AA118)+AA120,0)</f>
        <v>0</v>
      </c>
      <c r="AB6" s="346">
        <f>IF(AB2&lt;=('0 Úvod'!$G$19+'0 Úvod'!$J$19-1),SUMPRODUCT(AB72:AB84,AB106:AB118)+AB120,0)</f>
        <v>0</v>
      </c>
      <c r="AC6" s="347">
        <f>IF(AC2&lt;=('0 Úvod'!$G$19+'0 Úvod'!$J$19-1),SUMPRODUCT(AC72:AC84,AC106:AC118)+AC120,0)</f>
        <v>0</v>
      </c>
    </row>
    <row r="7" spans="1:29" ht="12.75" thickBot="1">
      <c r="A7" s="285"/>
      <c r="B7" s="343"/>
      <c r="C7" s="344" t="s">
        <v>99</v>
      </c>
      <c r="D7" s="345">
        <f>SUM(E7:AC7,E14:AC14)</f>
        <v>0</v>
      </c>
      <c r="E7" s="348">
        <f>SUM(E4:E6)</f>
        <v>0</v>
      </c>
      <c r="F7" s="349">
        <f aca="true" t="shared" si="2" ref="F7:S7">SUM(F4:F6)</f>
        <v>0</v>
      </c>
      <c r="G7" s="349">
        <f t="shared" si="2"/>
        <v>0</v>
      </c>
      <c r="H7" s="349">
        <f t="shared" si="2"/>
        <v>0</v>
      </c>
      <c r="I7" s="349">
        <f t="shared" si="2"/>
        <v>0</v>
      </c>
      <c r="J7" s="349">
        <f t="shared" si="2"/>
        <v>0</v>
      </c>
      <c r="K7" s="349">
        <f t="shared" si="2"/>
        <v>0</v>
      </c>
      <c r="L7" s="349">
        <f t="shared" si="2"/>
        <v>0</v>
      </c>
      <c r="M7" s="349">
        <f t="shared" si="2"/>
        <v>0</v>
      </c>
      <c r="N7" s="349">
        <f t="shared" si="2"/>
        <v>0</v>
      </c>
      <c r="O7" s="349">
        <f t="shared" si="2"/>
        <v>0</v>
      </c>
      <c r="P7" s="349">
        <f t="shared" si="2"/>
        <v>0</v>
      </c>
      <c r="Q7" s="349">
        <f t="shared" si="2"/>
        <v>0</v>
      </c>
      <c r="R7" s="349">
        <f t="shared" si="2"/>
        <v>0</v>
      </c>
      <c r="S7" s="349">
        <f t="shared" si="2"/>
        <v>0</v>
      </c>
      <c r="T7" s="349">
        <f aca="true" t="shared" si="3" ref="T7:AC7">SUM(T4:T6)</f>
        <v>0</v>
      </c>
      <c r="U7" s="349">
        <f t="shared" si="3"/>
        <v>0</v>
      </c>
      <c r="V7" s="349">
        <f t="shared" si="3"/>
        <v>0</v>
      </c>
      <c r="W7" s="349">
        <f t="shared" si="3"/>
        <v>0</v>
      </c>
      <c r="X7" s="349">
        <f t="shared" si="3"/>
        <v>0</v>
      </c>
      <c r="Y7" s="349">
        <f t="shared" si="3"/>
        <v>0</v>
      </c>
      <c r="Z7" s="349">
        <f t="shared" si="3"/>
        <v>0</v>
      </c>
      <c r="AA7" s="349">
        <f t="shared" si="3"/>
        <v>0</v>
      </c>
      <c r="AB7" s="349">
        <f t="shared" si="3"/>
        <v>0</v>
      </c>
      <c r="AC7" s="350">
        <f t="shared" si="3"/>
        <v>0</v>
      </c>
    </row>
    <row r="8" spans="1:29" ht="12" thickBot="1">
      <c r="A8" s="285"/>
      <c r="B8" s="289"/>
      <c r="C8" s="285"/>
      <c r="D8" s="284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</row>
    <row r="9" spans="1:29" ht="12.75">
      <c r="A9" s="285"/>
      <c r="B9" s="108" t="s">
        <v>32</v>
      </c>
      <c r="C9" s="109" t="s">
        <v>94</v>
      </c>
      <c r="D9" s="351"/>
      <c r="E9" s="988">
        <f>AC2+1</f>
        <v>2039</v>
      </c>
      <c r="F9" s="980">
        <f aca="true" t="shared" si="4" ref="F9:S9">E9+1</f>
        <v>2040</v>
      </c>
      <c r="G9" s="980">
        <f t="shared" si="4"/>
        <v>2041</v>
      </c>
      <c r="H9" s="980">
        <f t="shared" si="4"/>
        <v>2042</v>
      </c>
      <c r="I9" s="980">
        <f t="shared" si="4"/>
        <v>2043</v>
      </c>
      <c r="J9" s="980">
        <f t="shared" si="4"/>
        <v>2044</v>
      </c>
      <c r="K9" s="980">
        <f t="shared" si="4"/>
        <v>2045</v>
      </c>
      <c r="L9" s="980">
        <f t="shared" si="4"/>
        <v>2046</v>
      </c>
      <c r="M9" s="980">
        <f t="shared" si="4"/>
        <v>2047</v>
      </c>
      <c r="N9" s="980">
        <f t="shared" si="4"/>
        <v>2048</v>
      </c>
      <c r="O9" s="980">
        <f t="shared" si="4"/>
        <v>2049</v>
      </c>
      <c r="P9" s="980">
        <f t="shared" si="4"/>
        <v>2050</v>
      </c>
      <c r="Q9" s="980">
        <f t="shared" si="4"/>
        <v>2051</v>
      </c>
      <c r="R9" s="980">
        <f t="shared" si="4"/>
        <v>2052</v>
      </c>
      <c r="S9" s="980">
        <f t="shared" si="4"/>
        <v>2053</v>
      </c>
      <c r="T9" s="980">
        <f aca="true" t="shared" si="5" ref="T9:AC9">S9+1</f>
        <v>2054</v>
      </c>
      <c r="U9" s="980">
        <f t="shared" si="5"/>
        <v>2055</v>
      </c>
      <c r="V9" s="980">
        <f t="shared" si="5"/>
        <v>2056</v>
      </c>
      <c r="W9" s="980">
        <f t="shared" si="5"/>
        <v>2057</v>
      </c>
      <c r="X9" s="980">
        <f t="shared" si="5"/>
        <v>2058</v>
      </c>
      <c r="Y9" s="980">
        <f t="shared" si="5"/>
        <v>2059</v>
      </c>
      <c r="Z9" s="980">
        <f t="shared" si="5"/>
        <v>2060</v>
      </c>
      <c r="AA9" s="980">
        <f t="shared" si="5"/>
        <v>2061</v>
      </c>
      <c r="AB9" s="980">
        <f t="shared" si="5"/>
        <v>2062</v>
      </c>
      <c r="AC9" s="992">
        <f t="shared" si="5"/>
        <v>2063</v>
      </c>
    </row>
    <row r="10" spans="2:35" s="285" customFormat="1" ht="13.5" thickBot="1">
      <c r="B10" s="333" t="s">
        <v>26</v>
      </c>
      <c r="C10" s="334" t="s">
        <v>96</v>
      </c>
      <c r="D10" s="352"/>
      <c r="E10" s="989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1"/>
      <c r="Z10" s="981"/>
      <c r="AA10" s="981"/>
      <c r="AB10" s="981"/>
      <c r="AC10" s="993"/>
      <c r="AD10" s="283"/>
      <c r="AE10" s="283"/>
      <c r="AF10" s="283"/>
      <c r="AG10" s="283"/>
      <c r="AH10" s="283"/>
      <c r="AI10" s="283"/>
    </row>
    <row r="11" spans="2:35" s="285" customFormat="1" ht="12">
      <c r="B11" s="336"/>
      <c r="C11" s="337" t="str">
        <f>C4</f>
        <v>Náklady na údržbu a provoz infrastruktury</v>
      </c>
      <c r="D11" s="353"/>
      <c r="E11" s="286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8"/>
      <c r="AD11" s="283"/>
      <c r="AE11" s="283"/>
      <c r="AF11" s="283"/>
      <c r="AG11" s="283"/>
      <c r="AH11" s="283"/>
      <c r="AI11" s="283"/>
    </row>
    <row r="12" spans="1:29" ht="12">
      <c r="A12" s="285"/>
      <c r="B12" s="354"/>
      <c r="C12" s="340" t="str">
        <f>C5</f>
        <v>Periodické provozní náklady / opravy</v>
      </c>
      <c r="D12" s="355"/>
      <c r="E12" s="29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3"/>
    </row>
    <row r="13" spans="1:29" ht="12">
      <c r="A13" s="285"/>
      <c r="B13" s="356"/>
      <c r="C13" s="342" t="str">
        <f>C6</f>
        <v>Náklady na řízení provozu</v>
      </c>
      <c r="D13" s="357"/>
      <c r="E13" s="346">
        <f>IF(E9&lt;=('0 Úvod'!$G$19+'0 Úvod'!$J$19-1),SUMPRODUCT(E89:E101,E124:E136)+E138,0)</f>
        <v>0</v>
      </c>
      <c r="F13" s="346">
        <f>IF(F9&lt;=('0 Úvod'!$G$19+'0 Úvod'!$J$19-1),SUMPRODUCT(F89:F101,F124:F136)+F138,0)</f>
        <v>0</v>
      </c>
      <c r="G13" s="346">
        <f>IF(G9&lt;=('0 Úvod'!$G$19+'0 Úvod'!$J$19-1),SUMPRODUCT(G89:G101,G124:G136)+G138,0)</f>
        <v>0</v>
      </c>
      <c r="H13" s="346">
        <f>IF(H9&lt;=('0 Úvod'!$G$19+'0 Úvod'!$J$19-1),SUMPRODUCT(H89:H101,H124:H136)+H138,0)</f>
        <v>0</v>
      </c>
      <c r="I13" s="346">
        <f>IF(I9&lt;=('0 Úvod'!$G$19+'0 Úvod'!$J$19-1),SUMPRODUCT(I89:I101,I124:I136)+I138,0)</f>
        <v>0</v>
      </c>
      <c r="J13" s="346">
        <f>IF(J9&lt;=('0 Úvod'!$G$19+'0 Úvod'!$J$19-1),SUMPRODUCT(J89:J101,J124:J136)+J138,0)</f>
        <v>0</v>
      </c>
      <c r="K13" s="346">
        <f>IF(K9&lt;=('0 Úvod'!$G$19+'0 Úvod'!$J$19-1),SUMPRODUCT(K89:K101,K124:K136)+K138,0)</f>
        <v>0</v>
      </c>
      <c r="L13" s="346">
        <f>IF(L9&lt;=('0 Úvod'!$G$19+'0 Úvod'!$J$19-1),SUMPRODUCT(L89:L101,L124:L136)+L138,0)</f>
        <v>0</v>
      </c>
      <c r="M13" s="346">
        <f>IF(M9&lt;=('0 Úvod'!$G$19+'0 Úvod'!$J$19-1),SUMPRODUCT(M89:M101,M124:M136)+M138,0)</f>
        <v>0</v>
      </c>
      <c r="N13" s="346">
        <f>IF(N9&lt;=('0 Úvod'!$G$19+'0 Úvod'!$J$19-1),SUMPRODUCT(N89:N101,N124:N136)+N138,0)</f>
        <v>0</v>
      </c>
      <c r="O13" s="346">
        <f>IF(O9&lt;=('0 Úvod'!$G$19+'0 Úvod'!$J$19-1),SUMPRODUCT(O89:O101,O124:O136)+O138,0)</f>
        <v>0</v>
      </c>
      <c r="P13" s="346">
        <f>IF(P9&lt;=('0 Úvod'!$G$19+'0 Úvod'!$J$19-1),SUMPRODUCT(P89:P101,P124:P136)+P138,0)</f>
        <v>0</v>
      </c>
      <c r="Q13" s="346">
        <f>IF(Q9&lt;=('0 Úvod'!$G$19+'0 Úvod'!$J$19-1),SUMPRODUCT(Q89:Q101,Q124:Q136)+Q138,0)</f>
        <v>0</v>
      </c>
      <c r="R13" s="346">
        <f>IF(R9&lt;=('0 Úvod'!$G$19+'0 Úvod'!$J$19-1),SUMPRODUCT(R89:R101,R124:R136)+R138,0)</f>
        <v>0</v>
      </c>
      <c r="S13" s="346">
        <f>IF(S9&lt;=('0 Úvod'!$G$19+'0 Úvod'!$J$19-1),SUMPRODUCT(S89:S101,S124:S136)+S138,0)</f>
        <v>0</v>
      </c>
      <c r="T13" s="346">
        <f>IF(T9&lt;=('0 Úvod'!$G$19+'0 Úvod'!$J$19-1),SUMPRODUCT(T89:T101,T124:T136)+T138,0)</f>
        <v>0</v>
      </c>
      <c r="U13" s="346">
        <f>IF(U9&lt;=('0 Úvod'!$G$19+'0 Úvod'!$J$19-1),SUMPRODUCT(U89:U101,U124:U136)+U138,0)</f>
        <v>0</v>
      </c>
      <c r="V13" s="346">
        <f>IF(V9&lt;=('0 Úvod'!$G$19+'0 Úvod'!$J$19-1),SUMPRODUCT(V89:V101,V124:V136)+V138,0)</f>
        <v>0</v>
      </c>
      <c r="W13" s="346">
        <f>IF(W9&lt;=('0 Úvod'!$G$19+'0 Úvod'!$J$19-1),SUMPRODUCT(W89:W101,W124:W136)+W138,0)</f>
        <v>0</v>
      </c>
      <c r="X13" s="346">
        <f>IF(X9&lt;=('0 Úvod'!$G$19+'0 Úvod'!$J$19-1),SUMPRODUCT(X89:X101,X124:X136)+X138,0)</f>
        <v>0</v>
      </c>
      <c r="Y13" s="346">
        <f>IF(Y9&lt;=('0 Úvod'!$G$19+'0 Úvod'!$J$19-1),SUMPRODUCT(Y89:Y101,Y124:Y136)+Y138,0)</f>
        <v>0</v>
      </c>
      <c r="Z13" s="346">
        <f>IF(Z9&lt;=('0 Úvod'!$G$19+'0 Úvod'!$J$19-1),SUMPRODUCT(Z89:Z101,Z124:Z136)+Z138,0)</f>
        <v>0</v>
      </c>
      <c r="AA13" s="346">
        <f>IF(AA9&lt;=('0 Úvod'!$G$19+'0 Úvod'!$J$19-1),SUMPRODUCT(AA89:AA101,AA124:AA136)+AA138,0)</f>
        <v>0</v>
      </c>
      <c r="AB13" s="346">
        <f>IF(AB9&lt;=('0 Úvod'!$G$19+'0 Úvod'!$J$19-1),SUMPRODUCT(AB89:AB101,AB124:AB136)+AB138,0)</f>
        <v>0</v>
      </c>
      <c r="AC13" s="347">
        <f>IF(AC9&lt;=('0 Úvod'!$G$19+'0 Úvod'!$J$19-1),SUMPRODUCT(AC89:AC101,AC124:AC136)+AC138,0)</f>
        <v>0</v>
      </c>
    </row>
    <row r="14" spans="1:29" ht="12.75" thickBot="1">
      <c r="A14" s="294"/>
      <c r="B14" s="358"/>
      <c r="C14" s="344" t="str">
        <f>C7</f>
        <v>Celkové provozní náklady</v>
      </c>
      <c r="D14" s="359"/>
      <c r="E14" s="360">
        <f aca="true" t="shared" si="6" ref="E14:S14">SUM(E11:E13)</f>
        <v>0</v>
      </c>
      <c r="F14" s="361">
        <f t="shared" si="6"/>
        <v>0</v>
      </c>
      <c r="G14" s="361">
        <f t="shared" si="6"/>
        <v>0</v>
      </c>
      <c r="H14" s="361">
        <f t="shared" si="6"/>
        <v>0</v>
      </c>
      <c r="I14" s="361">
        <f t="shared" si="6"/>
        <v>0</v>
      </c>
      <c r="J14" s="361">
        <f t="shared" si="6"/>
        <v>0</v>
      </c>
      <c r="K14" s="361">
        <f t="shared" si="6"/>
        <v>0</v>
      </c>
      <c r="L14" s="361">
        <f t="shared" si="6"/>
        <v>0</v>
      </c>
      <c r="M14" s="361">
        <f t="shared" si="6"/>
        <v>0</v>
      </c>
      <c r="N14" s="361">
        <f t="shared" si="6"/>
        <v>0</v>
      </c>
      <c r="O14" s="361">
        <f t="shared" si="6"/>
        <v>0</v>
      </c>
      <c r="P14" s="361">
        <f t="shared" si="6"/>
        <v>0</v>
      </c>
      <c r="Q14" s="361">
        <f t="shared" si="6"/>
        <v>0</v>
      </c>
      <c r="R14" s="361">
        <f t="shared" si="6"/>
        <v>0</v>
      </c>
      <c r="S14" s="361">
        <f t="shared" si="6"/>
        <v>0</v>
      </c>
      <c r="T14" s="361">
        <f aca="true" t="shared" si="7" ref="T14:AC14">SUM(T11:T13)</f>
        <v>0</v>
      </c>
      <c r="U14" s="361">
        <f t="shared" si="7"/>
        <v>0</v>
      </c>
      <c r="V14" s="361">
        <f t="shared" si="7"/>
        <v>0</v>
      </c>
      <c r="W14" s="361">
        <f t="shared" si="7"/>
        <v>0</v>
      </c>
      <c r="X14" s="361">
        <f t="shared" si="7"/>
        <v>0</v>
      </c>
      <c r="Y14" s="361">
        <f t="shared" si="7"/>
        <v>0</v>
      </c>
      <c r="Z14" s="361">
        <f t="shared" si="7"/>
        <v>0</v>
      </c>
      <c r="AA14" s="361">
        <f t="shared" si="7"/>
        <v>0</v>
      </c>
      <c r="AB14" s="361">
        <f t="shared" si="7"/>
        <v>0</v>
      </c>
      <c r="AC14" s="362">
        <f t="shared" si="7"/>
        <v>0</v>
      </c>
    </row>
    <row r="15" spans="1:29" ht="11.25">
      <c r="A15" s="294"/>
      <c r="B15" s="295"/>
      <c r="C15" s="294"/>
      <c r="D15" s="284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</row>
    <row r="16" ht="12" thickBot="1">
      <c r="A16" s="285"/>
    </row>
    <row r="17" spans="1:29" ht="12.75">
      <c r="A17" s="285"/>
      <c r="B17" s="363" t="s">
        <v>33</v>
      </c>
      <c r="C17" s="364" t="s">
        <v>94</v>
      </c>
      <c r="D17" s="365"/>
      <c r="E17" s="976">
        <f>E2</f>
        <v>2014</v>
      </c>
      <c r="F17" s="976">
        <f aca="true" t="shared" si="8" ref="F17:S17">E17+1</f>
        <v>2015</v>
      </c>
      <c r="G17" s="976">
        <f t="shared" si="8"/>
        <v>2016</v>
      </c>
      <c r="H17" s="976">
        <f t="shared" si="8"/>
        <v>2017</v>
      </c>
      <c r="I17" s="976">
        <f t="shared" si="8"/>
        <v>2018</v>
      </c>
      <c r="J17" s="976">
        <f t="shared" si="8"/>
        <v>2019</v>
      </c>
      <c r="K17" s="976">
        <f t="shared" si="8"/>
        <v>2020</v>
      </c>
      <c r="L17" s="976">
        <f t="shared" si="8"/>
        <v>2021</v>
      </c>
      <c r="M17" s="976">
        <f t="shared" si="8"/>
        <v>2022</v>
      </c>
      <c r="N17" s="976">
        <f t="shared" si="8"/>
        <v>2023</v>
      </c>
      <c r="O17" s="976">
        <f t="shared" si="8"/>
        <v>2024</v>
      </c>
      <c r="P17" s="976">
        <f t="shared" si="8"/>
        <v>2025</v>
      </c>
      <c r="Q17" s="976">
        <f t="shared" si="8"/>
        <v>2026</v>
      </c>
      <c r="R17" s="976">
        <f t="shared" si="8"/>
        <v>2027</v>
      </c>
      <c r="S17" s="976">
        <f t="shared" si="8"/>
        <v>2028</v>
      </c>
      <c r="T17" s="976">
        <f aca="true" t="shared" si="9" ref="T17:AC17">S17+1</f>
        <v>2029</v>
      </c>
      <c r="U17" s="976">
        <f t="shared" si="9"/>
        <v>2030</v>
      </c>
      <c r="V17" s="976">
        <f t="shared" si="9"/>
        <v>2031</v>
      </c>
      <c r="W17" s="976">
        <f t="shared" si="9"/>
        <v>2032</v>
      </c>
      <c r="X17" s="976">
        <f t="shared" si="9"/>
        <v>2033</v>
      </c>
      <c r="Y17" s="976">
        <f t="shared" si="9"/>
        <v>2034</v>
      </c>
      <c r="Z17" s="976">
        <f t="shared" si="9"/>
        <v>2035</v>
      </c>
      <c r="AA17" s="976">
        <f t="shared" si="9"/>
        <v>2036</v>
      </c>
      <c r="AB17" s="976">
        <f t="shared" si="9"/>
        <v>2037</v>
      </c>
      <c r="AC17" s="990">
        <f t="shared" si="9"/>
        <v>2038</v>
      </c>
    </row>
    <row r="18" spans="1:29" ht="13.5" thickBot="1">
      <c r="A18" s="285"/>
      <c r="B18" s="366" t="s">
        <v>25</v>
      </c>
      <c r="C18" s="367" t="s">
        <v>100</v>
      </c>
      <c r="D18" s="368" t="s">
        <v>83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91"/>
    </row>
    <row r="19" spans="1:35" s="285" customFormat="1" ht="12">
      <c r="A19" s="199"/>
      <c r="B19" s="336"/>
      <c r="C19" s="337" t="s">
        <v>97</v>
      </c>
      <c r="D19" s="338">
        <f>SUM(E19:AC19,E26:AC26)</f>
        <v>0</v>
      </c>
      <c r="E19" s="297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88"/>
      <c r="AD19" s="283"/>
      <c r="AE19" s="283"/>
      <c r="AF19" s="283"/>
      <c r="AG19" s="283"/>
      <c r="AH19" s="283"/>
      <c r="AI19" s="283"/>
    </row>
    <row r="20" spans="1:29" ht="12">
      <c r="A20" s="199"/>
      <c r="B20" s="339"/>
      <c r="C20" s="340" t="s">
        <v>236</v>
      </c>
      <c r="D20" s="341">
        <f>SUM(E20:AC20,E27:AC27)</f>
        <v>0</v>
      </c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</row>
    <row r="21" spans="1:29" ht="12" customHeight="1">
      <c r="A21" s="285"/>
      <c r="B21" s="339"/>
      <c r="C21" s="342" t="s">
        <v>98</v>
      </c>
      <c r="D21" s="341">
        <f>SUM(E21:AC21,E28:AC28)</f>
        <v>0</v>
      </c>
      <c r="E21" s="346">
        <f>IF(E17&lt;=('0 Úvod'!$G$19+'0 Úvod'!$J$19-1),SUMPRODUCT(E72:E84,E142:E154)+E156,0)</f>
        <v>0</v>
      </c>
      <c r="F21" s="346">
        <f>IF(F17&lt;=('0 Úvod'!$G$19+'0 Úvod'!$J$19-1),SUMPRODUCT(F72:F84,F142:F154)+F156,0)</f>
        <v>0</v>
      </c>
      <c r="G21" s="346">
        <f>IF(G17&lt;=('0 Úvod'!$G$19+'0 Úvod'!$J$19-1),SUMPRODUCT(G72:G84,G142:G154)+G156,0)</f>
        <v>0</v>
      </c>
      <c r="H21" s="346">
        <f>IF(H17&lt;=('0 Úvod'!$G$19+'0 Úvod'!$J$19-1),SUMPRODUCT(H72:H84,H142:H154)+H156,0)</f>
        <v>0</v>
      </c>
      <c r="I21" s="346">
        <f>IF(I17&lt;=('0 Úvod'!$G$19+'0 Úvod'!$J$19-1),SUMPRODUCT(I72:I84,I142:I154)+I156,0)</f>
        <v>0</v>
      </c>
      <c r="J21" s="346">
        <f>IF(J17&lt;=('0 Úvod'!$G$19+'0 Úvod'!$J$19-1),SUMPRODUCT(J72:J84,J142:J154)+J156,0)</f>
        <v>0</v>
      </c>
      <c r="K21" s="346">
        <f>IF(K17&lt;=('0 Úvod'!$G$19+'0 Úvod'!$J$19-1),SUMPRODUCT(K72:K84,K142:K154)+K156,0)</f>
        <v>0</v>
      </c>
      <c r="L21" s="346">
        <f>IF(L17&lt;=('0 Úvod'!$G$19+'0 Úvod'!$J$19-1),SUMPRODUCT(L72:L84,L142:L154)+L156,0)</f>
        <v>0</v>
      </c>
      <c r="M21" s="346">
        <f>IF(M17&lt;=('0 Úvod'!$G$19+'0 Úvod'!$J$19-1),SUMPRODUCT(M72:M84,M142:M154)+M156,0)</f>
        <v>0</v>
      </c>
      <c r="N21" s="346">
        <f>IF(N17&lt;=('0 Úvod'!$G$19+'0 Úvod'!$J$19-1),SUMPRODUCT(N72:N84,N142:N154)+N156,0)</f>
        <v>0</v>
      </c>
      <c r="O21" s="346">
        <f>IF(O17&lt;=('0 Úvod'!$G$19+'0 Úvod'!$J$19-1),SUMPRODUCT(O72:O84,O142:O154)+O156,0)</f>
        <v>0</v>
      </c>
      <c r="P21" s="346">
        <f>IF(P17&lt;=('0 Úvod'!$G$19+'0 Úvod'!$J$19-1),SUMPRODUCT(P72:P84,P142:P154)+P156,0)</f>
        <v>0</v>
      </c>
      <c r="Q21" s="346">
        <f>IF(Q17&lt;=('0 Úvod'!$G$19+'0 Úvod'!$J$19-1),SUMPRODUCT(Q72:Q84,Q142:Q154)+Q156,0)</f>
        <v>0</v>
      </c>
      <c r="R21" s="346">
        <f>IF(R17&lt;=('0 Úvod'!$G$19+'0 Úvod'!$J$19-1),SUMPRODUCT(R72:R84,R142:R154)+R156,0)</f>
        <v>0</v>
      </c>
      <c r="S21" s="346">
        <f>IF(S17&lt;=('0 Úvod'!$G$19+'0 Úvod'!$J$19-1),SUMPRODUCT(S72:S84,S142:S154)+S156,0)</f>
        <v>0</v>
      </c>
      <c r="T21" s="346">
        <f>IF(T17&lt;=('0 Úvod'!$G$19+'0 Úvod'!$J$19-1),SUMPRODUCT(T72:T84,T142:T154)+T156,0)</f>
        <v>0</v>
      </c>
      <c r="U21" s="346">
        <f>IF(U17&lt;=('0 Úvod'!$G$19+'0 Úvod'!$J$19-1),SUMPRODUCT(U72:U84,U142:U154)+U156,0)</f>
        <v>0</v>
      </c>
      <c r="V21" s="346">
        <f>IF(V17&lt;=('0 Úvod'!$G$19+'0 Úvod'!$J$19-1),SUMPRODUCT(V72:V84,V142:V154)+V156,0)</f>
        <v>0</v>
      </c>
      <c r="W21" s="346">
        <f>IF(W17&lt;=('0 Úvod'!$G$19+'0 Úvod'!$J$19-1),SUMPRODUCT(W72:W84,W142:W154)+W156,0)</f>
        <v>0</v>
      </c>
      <c r="X21" s="346">
        <f>IF(X17&lt;=('0 Úvod'!$G$19+'0 Úvod'!$J$19-1),SUMPRODUCT(X72:X84,X142:X154)+X156,0)</f>
        <v>0</v>
      </c>
      <c r="Y21" s="346">
        <f>IF(Y17&lt;=('0 Úvod'!$G$19+'0 Úvod'!$J$19-1),SUMPRODUCT(Y72:Y84,Y142:Y154)+Y156,0)</f>
        <v>0</v>
      </c>
      <c r="Z21" s="346">
        <f>IF(Z17&lt;=('0 Úvod'!$G$19+'0 Úvod'!$J$19-1),SUMPRODUCT(Z72:Z84,Z142:Z154)+Z156,0)</f>
        <v>0</v>
      </c>
      <c r="AA21" s="346">
        <f>IF(AA17&lt;=('0 Úvod'!$G$19+'0 Úvod'!$J$19-1),SUMPRODUCT(AA72:AA84,AA142:AA154)+AA156,0)</f>
        <v>0</v>
      </c>
      <c r="AB21" s="346">
        <f>IF(AB17&lt;=('0 Úvod'!$G$19+'0 Úvod'!$J$19-1),SUMPRODUCT(AB72:AB84,AB142:AB154)+AB156,0)</f>
        <v>0</v>
      </c>
      <c r="AC21" s="347">
        <f>IF(AC17&lt;=('0 Úvod'!$G$19+'0 Úvod'!$J$19-1),SUMPRODUCT(AC72:AC84,AC142:AC154)+AC156,0)</f>
        <v>0</v>
      </c>
    </row>
    <row r="22" spans="1:29" ht="12.75" thickBot="1">
      <c r="A22" s="285"/>
      <c r="B22" s="343"/>
      <c r="C22" s="344" t="s">
        <v>99</v>
      </c>
      <c r="D22" s="345">
        <f>SUM(E22:AC22,E29:AC29)</f>
        <v>0</v>
      </c>
      <c r="E22" s="348">
        <f aca="true" t="shared" si="10" ref="E22:S22">SUM(E19:E21)</f>
        <v>0</v>
      </c>
      <c r="F22" s="349">
        <f t="shared" si="10"/>
        <v>0</v>
      </c>
      <c r="G22" s="349">
        <f t="shared" si="10"/>
        <v>0</v>
      </c>
      <c r="H22" s="349">
        <f t="shared" si="10"/>
        <v>0</v>
      </c>
      <c r="I22" s="349">
        <f t="shared" si="10"/>
        <v>0</v>
      </c>
      <c r="J22" s="349">
        <f t="shared" si="10"/>
        <v>0</v>
      </c>
      <c r="K22" s="349">
        <f t="shared" si="10"/>
        <v>0</v>
      </c>
      <c r="L22" s="349">
        <f t="shared" si="10"/>
        <v>0</v>
      </c>
      <c r="M22" s="349">
        <f t="shared" si="10"/>
        <v>0</v>
      </c>
      <c r="N22" s="349">
        <f t="shared" si="10"/>
        <v>0</v>
      </c>
      <c r="O22" s="349">
        <f t="shared" si="10"/>
        <v>0</v>
      </c>
      <c r="P22" s="349">
        <f t="shared" si="10"/>
        <v>0</v>
      </c>
      <c r="Q22" s="349">
        <f t="shared" si="10"/>
        <v>0</v>
      </c>
      <c r="R22" s="349">
        <f t="shared" si="10"/>
        <v>0</v>
      </c>
      <c r="S22" s="349">
        <f t="shared" si="10"/>
        <v>0</v>
      </c>
      <c r="T22" s="349">
        <f aca="true" t="shared" si="11" ref="T22:AC22">SUM(T19:T21)</f>
        <v>0</v>
      </c>
      <c r="U22" s="349">
        <f t="shared" si="11"/>
        <v>0</v>
      </c>
      <c r="V22" s="349">
        <f t="shared" si="11"/>
        <v>0</v>
      </c>
      <c r="W22" s="349">
        <f t="shared" si="11"/>
        <v>0</v>
      </c>
      <c r="X22" s="349">
        <f t="shared" si="11"/>
        <v>0</v>
      </c>
      <c r="Y22" s="349">
        <f t="shared" si="11"/>
        <v>0</v>
      </c>
      <c r="Z22" s="349">
        <f t="shared" si="11"/>
        <v>0</v>
      </c>
      <c r="AA22" s="349">
        <f t="shared" si="11"/>
        <v>0</v>
      </c>
      <c r="AB22" s="349">
        <f t="shared" si="11"/>
        <v>0</v>
      </c>
      <c r="AC22" s="350">
        <f t="shared" si="11"/>
        <v>0</v>
      </c>
    </row>
    <row r="23" spans="1:29" ht="12" thickBot="1">
      <c r="A23" s="285"/>
      <c r="B23" s="299"/>
      <c r="C23" s="285"/>
      <c r="D23" s="284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</row>
    <row r="24" spans="1:29" ht="12.75">
      <c r="A24" s="285"/>
      <c r="B24" s="363" t="s">
        <v>33</v>
      </c>
      <c r="C24" s="364" t="s">
        <v>94</v>
      </c>
      <c r="D24" s="369"/>
      <c r="E24" s="986">
        <f>AC17+1</f>
        <v>2039</v>
      </c>
      <c r="F24" s="976">
        <f aca="true" t="shared" si="12" ref="F24:S24">E24+1</f>
        <v>2040</v>
      </c>
      <c r="G24" s="976">
        <f t="shared" si="12"/>
        <v>2041</v>
      </c>
      <c r="H24" s="976">
        <f t="shared" si="12"/>
        <v>2042</v>
      </c>
      <c r="I24" s="976">
        <f t="shared" si="12"/>
        <v>2043</v>
      </c>
      <c r="J24" s="976">
        <f t="shared" si="12"/>
        <v>2044</v>
      </c>
      <c r="K24" s="976">
        <f t="shared" si="12"/>
        <v>2045</v>
      </c>
      <c r="L24" s="976">
        <f t="shared" si="12"/>
        <v>2046</v>
      </c>
      <c r="M24" s="976">
        <f t="shared" si="12"/>
        <v>2047</v>
      </c>
      <c r="N24" s="976">
        <f t="shared" si="12"/>
        <v>2048</v>
      </c>
      <c r="O24" s="976">
        <f t="shared" si="12"/>
        <v>2049</v>
      </c>
      <c r="P24" s="976">
        <f t="shared" si="12"/>
        <v>2050</v>
      </c>
      <c r="Q24" s="976">
        <f t="shared" si="12"/>
        <v>2051</v>
      </c>
      <c r="R24" s="976">
        <f t="shared" si="12"/>
        <v>2052</v>
      </c>
      <c r="S24" s="976">
        <f t="shared" si="12"/>
        <v>2053</v>
      </c>
      <c r="T24" s="976">
        <f aca="true" t="shared" si="13" ref="T24:AC24">S24+1</f>
        <v>2054</v>
      </c>
      <c r="U24" s="976">
        <f t="shared" si="13"/>
        <v>2055</v>
      </c>
      <c r="V24" s="976">
        <f t="shared" si="13"/>
        <v>2056</v>
      </c>
      <c r="W24" s="976">
        <f t="shared" si="13"/>
        <v>2057</v>
      </c>
      <c r="X24" s="976">
        <f t="shared" si="13"/>
        <v>2058</v>
      </c>
      <c r="Y24" s="976">
        <f t="shared" si="13"/>
        <v>2059</v>
      </c>
      <c r="Z24" s="976">
        <f t="shared" si="13"/>
        <v>2060</v>
      </c>
      <c r="AA24" s="976">
        <f t="shared" si="13"/>
        <v>2061</v>
      </c>
      <c r="AB24" s="976">
        <f t="shared" si="13"/>
        <v>2062</v>
      </c>
      <c r="AC24" s="990">
        <f t="shared" si="13"/>
        <v>2063</v>
      </c>
    </row>
    <row r="25" spans="2:35" s="285" customFormat="1" ht="13.5" thickBot="1">
      <c r="B25" s="366" t="s">
        <v>26</v>
      </c>
      <c r="C25" s="367" t="s">
        <v>100</v>
      </c>
      <c r="D25" s="370"/>
      <c r="E25" s="987">
        <f>S18+1</f>
        <v>1</v>
      </c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91"/>
      <c r="AD25" s="283"/>
      <c r="AE25" s="283"/>
      <c r="AF25" s="283"/>
      <c r="AG25" s="283"/>
      <c r="AH25" s="283"/>
      <c r="AI25" s="283"/>
    </row>
    <row r="26" spans="2:35" s="285" customFormat="1" ht="12">
      <c r="B26" s="336"/>
      <c r="C26" s="337" t="str">
        <f>C19</f>
        <v>Náklady na údržbu a provoz infrastruktury</v>
      </c>
      <c r="D26" s="353"/>
      <c r="E26" s="297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88"/>
      <c r="AD26" s="283"/>
      <c r="AE26" s="283"/>
      <c r="AF26" s="283"/>
      <c r="AG26" s="283"/>
      <c r="AH26" s="283"/>
      <c r="AI26" s="283"/>
    </row>
    <row r="27" spans="1:29" ht="12">
      <c r="A27" s="285"/>
      <c r="B27" s="354"/>
      <c r="C27" s="340" t="str">
        <f>C20</f>
        <v>Periodické provozní náklady / opravy</v>
      </c>
      <c r="D27" s="355"/>
      <c r="E27" s="291"/>
      <c r="F27" s="3"/>
      <c r="G27" s="3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3"/>
    </row>
    <row r="28" spans="1:29" ht="12">
      <c r="A28" s="285"/>
      <c r="B28" s="356"/>
      <c r="C28" s="342" t="str">
        <f>C21</f>
        <v>Náklady na řízení provozu</v>
      </c>
      <c r="D28" s="357"/>
      <c r="E28" s="346">
        <f>IF(E24&lt;=('0 Úvod'!$G$19+'0 Úvod'!$J$19-1),SUMPRODUCT(E89:E101,E160:E172)+E174,0)</f>
        <v>0</v>
      </c>
      <c r="F28" s="346">
        <f>IF(F24&lt;=('0 Úvod'!$G$19+'0 Úvod'!$J$19-1),SUMPRODUCT(F89:F101,F160:F172)+F174,0)</f>
        <v>0</v>
      </c>
      <c r="G28" s="346">
        <f>IF(G24&lt;=('0 Úvod'!$G$19+'0 Úvod'!$J$19-1),SUMPRODUCT(G89:G101,G160:G172)+G174,0)</f>
        <v>0</v>
      </c>
      <c r="H28" s="346">
        <f>IF(H24&lt;=('0 Úvod'!$G$19+'0 Úvod'!$J$19-1),SUMPRODUCT(H89:H101,H160:H172)+H174,0)</f>
        <v>0</v>
      </c>
      <c r="I28" s="346">
        <f>IF(I24&lt;=('0 Úvod'!$G$19+'0 Úvod'!$J$19-1),SUMPRODUCT(I89:I101,I160:I172)+I174,0)</f>
        <v>0</v>
      </c>
      <c r="J28" s="346">
        <f>IF(J24&lt;=('0 Úvod'!$G$19+'0 Úvod'!$J$19-1),SUMPRODUCT(J89:J101,J160:J172)+J174,0)</f>
        <v>0</v>
      </c>
      <c r="K28" s="346">
        <f>IF(K24&lt;=('0 Úvod'!$G$19+'0 Úvod'!$J$19-1),SUMPRODUCT(K89:K101,K160:K172)+K174,0)</f>
        <v>0</v>
      </c>
      <c r="L28" s="346">
        <f>IF(L24&lt;=('0 Úvod'!$G$19+'0 Úvod'!$J$19-1),SUMPRODUCT(L89:L101,L160:L172)+L174,0)</f>
        <v>0</v>
      </c>
      <c r="M28" s="346">
        <f>IF(M24&lt;=('0 Úvod'!$G$19+'0 Úvod'!$J$19-1),SUMPRODUCT(M89:M101,M160:M172)+M174,0)</f>
        <v>0</v>
      </c>
      <c r="N28" s="346">
        <f>IF(N24&lt;=('0 Úvod'!$G$19+'0 Úvod'!$J$19-1),SUMPRODUCT(N89:N101,N160:N172)+N174,0)</f>
        <v>0</v>
      </c>
      <c r="O28" s="346">
        <f>IF(O24&lt;=('0 Úvod'!$G$19+'0 Úvod'!$J$19-1),SUMPRODUCT(O89:O101,O160:O172)+O174,0)</f>
        <v>0</v>
      </c>
      <c r="P28" s="346">
        <f>IF(P24&lt;=('0 Úvod'!$G$19+'0 Úvod'!$J$19-1),SUMPRODUCT(P89:P101,P160:P172)+P174,0)</f>
        <v>0</v>
      </c>
      <c r="Q28" s="346">
        <f>IF(Q24&lt;=('0 Úvod'!$G$19+'0 Úvod'!$J$19-1),SUMPRODUCT(Q89:Q101,Q160:Q172)+Q174,0)</f>
        <v>0</v>
      </c>
      <c r="R28" s="346">
        <f>IF(R24&lt;=('0 Úvod'!$G$19+'0 Úvod'!$J$19-1),SUMPRODUCT(R89:R101,R160:R172)+R174,0)</f>
        <v>0</v>
      </c>
      <c r="S28" s="346">
        <f>IF(S24&lt;=('0 Úvod'!$G$19+'0 Úvod'!$J$19-1),SUMPRODUCT(S89:S101,S160:S172)+S174,0)</f>
        <v>0</v>
      </c>
      <c r="T28" s="346">
        <f>IF(T24&lt;=('0 Úvod'!$G$19+'0 Úvod'!$J$19-1),SUMPRODUCT(T89:T101,T160:T172)+T174,0)</f>
        <v>0</v>
      </c>
      <c r="U28" s="346">
        <f>IF(U24&lt;=('0 Úvod'!$G$19+'0 Úvod'!$J$19-1),SUMPRODUCT(U89:U101,U160:U172)+U174,0)</f>
        <v>0</v>
      </c>
      <c r="V28" s="346">
        <f>IF(V24&lt;=('0 Úvod'!$G$19+'0 Úvod'!$J$19-1),SUMPRODUCT(V89:V101,V160:V172)+V174,0)</f>
        <v>0</v>
      </c>
      <c r="W28" s="346">
        <f>IF(W24&lt;=('0 Úvod'!$G$19+'0 Úvod'!$J$19-1),SUMPRODUCT(W89:W101,W160:W172)+W174,0)</f>
        <v>0</v>
      </c>
      <c r="X28" s="346">
        <f>IF(X24&lt;=('0 Úvod'!$G$19+'0 Úvod'!$J$19-1),SUMPRODUCT(X89:X101,X160:X172)+X174,0)</f>
        <v>0</v>
      </c>
      <c r="Y28" s="346">
        <f>IF(Y24&lt;=('0 Úvod'!$G$19+'0 Úvod'!$J$19-1),SUMPRODUCT(Y89:Y101,Y160:Y172)+Y174,0)</f>
        <v>0</v>
      </c>
      <c r="Z28" s="346">
        <f>IF(Z24&lt;=('0 Úvod'!$G$19+'0 Úvod'!$J$19-1),SUMPRODUCT(Z89:Z101,Z160:Z172)+Z174,0)</f>
        <v>0</v>
      </c>
      <c r="AA28" s="346">
        <f>IF(AA24&lt;=('0 Úvod'!$G$19+'0 Úvod'!$J$19-1),SUMPRODUCT(AA89:AA101,AA160:AA172)+AA174,0)</f>
        <v>0</v>
      </c>
      <c r="AB28" s="346">
        <f>IF(AB24&lt;=('0 Úvod'!$G$19+'0 Úvod'!$J$19-1),SUMPRODUCT(AB89:AB101,AB160:AB172)+AB174,0)</f>
        <v>0</v>
      </c>
      <c r="AC28" s="347">
        <f>IF(AC24&lt;=('0 Úvod'!$G$19+'0 Úvod'!$J$19-1),SUMPRODUCT(AC89:AC101,AC160:AC172)+AC174,0)</f>
        <v>0</v>
      </c>
    </row>
    <row r="29" spans="1:29" ht="12.75" thickBot="1">
      <c r="A29" s="294"/>
      <c r="B29" s="358"/>
      <c r="C29" s="344" t="str">
        <f>C22</f>
        <v>Celkové provozní náklady</v>
      </c>
      <c r="D29" s="359"/>
      <c r="E29" s="360">
        <f aca="true" t="shared" si="14" ref="E29:S29">SUM(E26:E28)</f>
        <v>0</v>
      </c>
      <c r="F29" s="361">
        <f t="shared" si="14"/>
        <v>0</v>
      </c>
      <c r="G29" s="361">
        <f t="shared" si="14"/>
        <v>0</v>
      </c>
      <c r="H29" s="361">
        <f t="shared" si="14"/>
        <v>0</v>
      </c>
      <c r="I29" s="361">
        <f t="shared" si="14"/>
        <v>0</v>
      </c>
      <c r="J29" s="361">
        <f t="shared" si="14"/>
        <v>0</v>
      </c>
      <c r="K29" s="361">
        <f t="shared" si="14"/>
        <v>0</v>
      </c>
      <c r="L29" s="361">
        <f t="shared" si="14"/>
        <v>0</v>
      </c>
      <c r="M29" s="361">
        <f t="shared" si="14"/>
        <v>0</v>
      </c>
      <c r="N29" s="361">
        <f t="shared" si="14"/>
        <v>0</v>
      </c>
      <c r="O29" s="361">
        <f t="shared" si="14"/>
        <v>0</v>
      </c>
      <c r="P29" s="361">
        <f t="shared" si="14"/>
        <v>0</v>
      </c>
      <c r="Q29" s="361">
        <f t="shared" si="14"/>
        <v>0</v>
      </c>
      <c r="R29" s="361">
        <f t="shared" si="14"/>
        <v>0</v>
      </c>
      <c r="S29" s="361">
        <f t="shared" si="14"/>
        <v>0</v>
      </c>
      <c r="T29" s="361">
        <f aca="true" t="shared" si="15" ref="T29:AC29">SUM(T26:T28)</f>
        <v>0</v>
      </c>
      <c r="U29" s="361">
        <f t="shared" si="15"/>
        <v>0</v>
      </c>
      <c r="V29" s="361">
        <f t="shared" si="15"/>
        <v>0</v>
      </c>
      <c r="W29" s="361">
        <f t="shared" si="15"/>
        <v>0</v>
      </c>
      <c r="X29" s="361">
        <f t="shared" si="15"/>
        <v>0</v>
      </c>
      <c r="Y29" s="361">
        <f t="shared" si="15"/>
        <v>0</v>
      </c>
      <c r="Z29" s="361">
        <f t="shared" si="15"/>
        <v>0</v>
      </c>
      <c r="AA29" s="361">
        <f t="shared" si="15"/>
        <v>0</v>
      </c>
      <c r="AB29" s="361">
        <f t="shared" si="15"/>
        <v>0</v>
      </c>
      <c r="AC29" s="362">
        <f t="shared" si="15"/>
        <v>0</v>
      </c>
    </row>
    <row r="30" spans="1:29" ht="11.25">
      <c r="A30" s="294"/>
      <c r="B30" s="295"/>
      <c r="C30" s="294"/>
      <c r="D30" s="284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</row>
    <row r="31" spans="1:29" ht="12" thickBot="1">
      <c r="A31" s="285"/>
      <c r="B31" s="295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</row>
    <row r="32" spans="2:29" s="285" customFormat="1" ht="12.75" customHeight="1">
      <c r="B32" s="371" t="s">
        <v>34</v>
      </c>
      <c r="C32" s="372" t="s">
        <v>101</v>
      </c>
      <c r="D32" s="373"/>
      <c r="E32" s="984">
        <f>E2</f>
        <v>2014</v>
      </c>
      <c r="F32" s="978">
        <f aca="true" t="shared" si="16" ref="F32:S32">E32+1</f>
        <v>2015</v>
      </c>
      <c r="G32" s="978">
        <f t="shared" si="16"/>
        <v>2016</v>
      </c>
      <c r="H32" s="978">
        <f t="shared" si="16"/>
        <v>2017</v>
      </c>
      <c r="I32" s="978">
        <f t="shared" si="16"/>
        <v>2018</v>
      </c>
      <c r="J32" s="978">
        <f t="shared" si="16"/>
        <v>2019</v>
      </c>
      <c r="K32" s="978">
        <f t="shared" si="16"/>
        <v>2020</v>
      </c>
      <c r="L32" s="978">
        <f t="shared" si="16"/>
        <v>2021</v>
      </c>
      <c r="M32" s="978">
        <f t="shared" si="16"/>
        <v>2022</v>
      </c>
      <c r="N32" s="978">
        <f t="shared" si="16"/>
        <v>2023</v>
      </c>
      <c r="O32" s="978">
        <f t="shared" si="16"/>
        <v>2024</v>
      </c>
      <c r="P32" s="978">
        <f t="shared" si="16"/>
        <v>2025</v>
      </c>
      <c r="Q32" s="978">
        <f t="shared" si="16"/>
        <v>2026</v>
      </c>
      <c r="R32" s="978">
        <f t="shared" si="16"/>
        <v>2027</v>
      </c>
      <c r="S32" s="978">
        <f t="shared" si="16"/>
        <v>2028</v>
      </c>
      <c r="T32" s="978">
        <f aca="true" t="shared" si="17" ref="T32:AC32">S32+1</f>
        <v>2029</v>
      </c>
      <c r="U32" s="978">
        <f t="shared" si="17"/>
        <v>2030</v>
      </c>
      <c r="V32" s="978">
        <f t="shared" si="17"/>
        <v>2031</v>
      </c>
      <c r="W32" s="978">
        <f t="shared" si="17"/>
        <v>2032</v>
      </c>
      <c r="X32" s="978">
        <f t="shared" si="17"/>
        <v>2033</v>
      </c>
      <c r="Y32" s="978">
        <f t="shared" si="17"/>
        <v>2034</v>
      </c>
      <c r="Z32" s="978">
        <f t="shared" si="17"/>
        <v>2035</v>
      </c>
      <c r="AA32" s="978">
        <f t="shared" si="17"/>
        <v>2036</v>
      </c>
      <c r="AB32" s="978">
        <f t="shared" si="17"/>
        <v>2037</v>
      </c>
      <c r="AC32" s="994">
        <f t="shared" si="17"/>
        <v>2038</v>
      </c>
    </row>
    <row r="33" spans="2:29" s="285" customFormat="1" ht="12.75" customHeight="1" thickBot="1">
      <c r="B33" s="374" t="s">
        <v>25</v>
      </c>
      <c r="C33" s="375"/>
      <c r="D33" s="376" t="s">
        <v>83</v>
      </c>
      <c r="E33" s="985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95"/>
    </row>
    <row r="34" spans="1:29" s="285" customFormat="1" ht="12.75" customHeight="1">
      <c r="A34" s="300"/>
      <c r="B34" s="336"/>
      <c r="C34" s="337" t="str">
        <f>C4</f>
        <v>Náklady na údržbu a provoz infrastruktury</v>
      </c>
      <c r="D34" s="338">
        <f>SUM(E34:AC34,E41:AC41)</f>
        <v>0</v>
      </c>
      <c r="E34" s="377">
        <f aca="true" t="shared" si="18" ref="E34:S34">E4-E19</f>
        <v>0</v>
      </c>
      <c r="F34" s="378">
        <f t="shared" si="18"/>
        <v>0</v>
      </c>
      <c r="G34" s="378">
        <f t="shared" si="18"/>
        <v>0</v>
      </c>
      <c r="H34" s="378">
        <f t="shared" si="18"/>
        <v>0</v>
      </c>
      <c r="I34" s="378">
        <f t="shared" si="18"/>
        <v>0</v>
      </c>
      <c r="J34" s="378">
        <f t="shared" si="18"/>
        <v>0</v>
      </c>
      <c r="K34" s="378">
        <f t="shared" si="18"/>
        <v>0</v>
      </c>
      <c r="L34" s="378">
        <f t="shared" si="18"/>
        <v>0</v>
      </c>
      <c r="M34" s="378">
        <f t="shared" si="18"/>
        <v>0</v>
      </c>
      <c r="N34" s="378">
        <f t="shared" si="18"/>
        <v>0</v>
      </c>
      <c r="O34" s="378">
        <f t="shared" si="18"/>
        <v>0</v>
      </c>
      <c r="P34" s="378">
        <f t="shared" si="18"/>
        <v>0</v>
      </c>
      <c r="Q34" s="378">
        <f t="shared" si="18"/>
        <v>0</v>
      </c>
      <c r="R34" s="378">
        <f t="shared" si="18"/>
        <v>0</v>
      </c>
      <c r="S34" s="378">
        <f t="shared" si="18"/>
        <v>0</v>
      </c>
      <c r="T34" s="378">
        <f aca="true" t="shared" si="19" ref="T34:AC34">T4-T19</f>
        <v>0</v>
      </c>
      <c r="U34" s="378">
        <f t="shared" si="19"/>
        <v>0</v>
      </c>
      <c r="V34" s="378">
        <f t="shared" si="19"/>
        <v>0</v>
      </c>
      <c r="W34" s="378">
        <f t="shared" si="19"/>
        <v>0</v>
      </c>
      <c r="X34" s="378">
        <f t="shared" si="19"/>
        <v>0</v>
      </c>
      <c r="Y34" s="378">
        <f t="shared" si="19"/>
        <v>0</v>
      </c>
      <c r="Z34" s="378">
        <f t="shared" si="19"/>
        <v>0</v>
      </c>
      <c r="AA34" s="378">
        <f t="shared" si="19"/>
        <v>0</v>
      </c>
      <c r="AB34" s="378">
        <f t="shared" si="19"/>
        <v>0</v>
      </c>
      <c r="AC34" s="379">
        <f t="shared" si="19"/>
        <v>0</v>
      </c>
    </row>
    <row r="35" spans="1:29" s="285" customFormat="1" ht="12.75" customHeight="1">
      <c r="A35" s="300"/>
      <c r="B35" s="339"/>
      <c r="C35" s="340" t="str">
        <f>C5</f>
        <v>Periodické provozní náklady / opravy</v>
      </c>
      <c r="D35" s="341">
        <f>SUM(E35:AC35,E42:AC42)</f>
        <v>0</v>
      </c>
      <c r="E35" s="380">
        <f aca="true" t="shared" si="20" ref="E35:S35">E5-E20</f>
        <v>0</v>
      </c>
      <c r="F35" s="381">
        <f t="shared" si="20"/>
        <v>0</v>
      </c>
      <c r="G35" s="381">
        <f t="shared" si="20"/>
        <v>0</v>
      </c>
      <c r="H35" s="381">
        <f t="shared" si="20"/>
        <v>0</v>
      </c>
      <c r="I35" s="381">
        <f t="shared" si="20"/>
        <v>0</v>
      </c>
      <c r="J35" s="381">
        <f t="shared" si="20"/>
        <v>0</v>
      </c>
      <c r="K35" s="381">
        <f t="shared" si="20"/>
        <v>0</v>
      </c>
      <c r="L35" s="381">
        <f t="shared" si="20"/>
        <v>0</v>
      </c>
      <c r="M35" s="381">
        <f t="shared" si="20"/>
        <v>0</v>
      </c>
      <c r="N35" s="381">
        <f t="shared" si="20"/>
        <v>0</v>
      </c>
      <c r="O35" s="381">
        <f t="shared" si="20"/>
        <v>0</v>
      </c>
      <c r="P35" s="381">
        <f t="shared" si="20"/>
        <v>0</v>
      </c>
      <c r="Q35" s="381">
        <f t="shared" si="20"/>
        <v>0</v>
      </c>
      <c r="R35" s="381">
        <f t="shared" si="20"/>
        <v>0</v>
      </c>
      <c r="S35" s="381">
        <f t="shared" si="20"/>
        <v>0</v>
      </c>
      <c r="T35" s="381">
        <f aca="true" t="shared" si="21" ref="T35:AC35">T5-T20</f>
        <v>0</v>
      </c>
      <c r="U35" s="381">
        <f t="shared" si="21"/>
        <v>0</v>
      </c>
      <c r="V35" s="381">
        <f t="shared" si="21"/>
        <v>0</v>
      </c>
      <c r="W35" s="381">
        <f t="shared" si="21"/>
        <v>0</v>
      </c>
      <c r="X35" s="381">
        <f t="shared" si="21"/>
        <v>0</v>
      </c>
      <c r="Y35" s="381">
        <f t="shared" si="21"/>
        <v>0</v>
      </c>
      <c r="Z35" s="381">
        <f t="shared" si="21"/>
        <v>0</v>
      </c>
      <c r="AA35" s="381">
        <f t="shared" si="21"/>
        <v>0</v>
      </c>
      <c r="AB35" s="381">
        <f t="shared" si="21"/>
        <v>0</v>
      </c>
      <c r="AC35" s="382">
        <f t="shared" si="21"/>
        <v>0</v>
      </c>
    </row>
    <row r="36" spans="1:29" s="285" customFormat="1" ht="12.75" customHeight="1">
      <c r="A36" s="300"/>
      <c r="B36" s="339"/>
      <c r="C36" s="342" t="str">
        <f>C6</f>
        <v>Náklady na řízení provozu</v>
      </c>
      <c r="D36" s="341">
        <f>SUM(E36:AC36,E43:AC43)</f>
        <v>0</v>
      </c>
      <c r="E36" s="380">
        <f aca="true" t="shared" si="22" ref="E36:S36">E6-E21</f>
        <v>0</v>
      </c>
      <c r="F36" s="381">
        <f t="shared" si="22"/>
        <v>0</v>
      </c>
      <c r="G36" s="381">
        <f t="shared" si="22"/>
        <v>0</v>
      </c>
      <c r="H36" s="381">
        <f t="shared" si="22"/>
        <v>0</v>
      </c>
      <c r="I36" s="381">
        <f t="shared" si="22"/>
        <v>0</v>
      </c>
      <c r="J36" s="381">
        <f t="shared" si="22"/>
        <v>0</v>
      </c>
      <c r="K36" s="381">
        <f t="shared" si="22"/>
        <v>0</v>
      </c>
      <c r="L36" s="381">
        <f t="shared" si="22"/>
        <v>0</v>
      </c>
      <c r="M36" s="381">
        <f t="shared" si="22"/>
        <v>0</v>
      </c>
      <c r="N36" s="381">
        <f t="shared" si="22"/>
        <v>0</v>
      </c>
      <c r="O36" s="381">
        <f t="shared" si="22"/>
        <v>0</v>
      </c>
      <c r="P36" s="381">
        <f t="shared" si="22"/>
        <v>0</v>
      </c>
      <c r="Q36" s="381">
        <f t="shared" si="22"/>
        <v>0</v>
      </c>
      <c r="R36" s="381">
        <f t="shared" si="22"/>
        <v>0</v>
      </c>
      <c r="S36" s="381">
        <f t="shared" si="22"/>
        <v>0</v>
      </c>
      <c r="T36" s="381">
        <f aca="true" t="shared" si="23" ref="T36:AC36">T6-T21</f>
        <v>0</v>
      </c>
      <c r="U36" s="381">
        <f t="shared" si="23"/>
        <v>0</v>
      </c>
      <c r="V36" s="381">
        <f t="shared" si="23"/>
        <v>0</v>
      </c>
      <c r="W36" s="381">
        <f t="shared" si="23"/>
        <v>0</v>
      </c>
      <c r="X36" s="381">
        <f t="shared" si="23"/>
        <v>0</v>
      </c>
      <c r="Y36" s="381">
        <f t="shared" si="23"/>
        <v>0</v>
      </c>
      <c r="Z36" s="381">
        <f t="shared" si="23"/>
        <v>0</v>
      </c>
      <c r="AA36" s="381">
        <f t="shared" si="23"/>
        <v>0</v>
      </c>
      <c r="AB36" s="381">
        <f t="shared" si="23"/>
        <v>0</v>
      </c>
      <c r="AC36" s="382">
        <f t="shared" si="23"/>
        <v>0</v>
      </c>
    </row>
    <row r="37" spans="1:29" ht="12.75" thickBot="1">
      <c r="A37" s="285"/>
      <c r="B37" s="343"/>
      <c r="C37" s="344" t="s">
        <v>102</v>
      </c>
      <c r="D37" s="345">
        <f>SUM(E37:AC37,E44:AC44)</f>
        <v>0</v>
      </c>
      <c r="E37" s="348">
        <f aca="true" t="shared" si="24" ref="E37:S37">E7-E22</f>
        <v>0</v>
      </c>
      <c r="F37" s="349">
        <f t="shared" si="24"/>
        <v>0</v>
      </c>
      <c r="G37" s="349">
        <f t="shared" si="24"/>
        <v>0</v>
      </c>
      <c r="H37" s="349">
        <f t="shared" si="24"/>
        <v>0</v>
      </c>
      <c r="I37" s="349">
        <f t="shared" si="24"/>
        <v>0</v>
      </c>
      <c r="J37" s="349">
        <f t="shared" si="24"/>
        <v>0</v>
      </c>
      <c r="K37" s="349">
        <f t="shared" si="24"/>
        <v>0</v>
      </c>
      <c r="L37" s="349">
        <f t="shared" si="24"/>
        <v>0</v>
      </c>
      <c r="M37" s="349">
        <f t="shared" si="24"/>
        <v>0</v>
      </c>
      <c r="N37" s="349">
        <f t="shared" si="24"/>
        <v>0</v>
      </c>
      <c r="O37" s="349">
        <f t="shared" si="24"/>
        <v>0</v>
      </c>
      <c r="P37" s="349">
        <f t="shared" si="24"/>
        <v>0</v>
      </c>
      <c r="Q37" s="349">
        <f t="shared" si="24"/>
        <v>0</v>
      </c>
      <c r="R37" s="349">
        <f t="shared" si="24"/>
        <v>0</v>
      </c>
      <c r="S37" s="349">
        <f t="shared" si="24"/>
        <v>0</v>
      </c>
      <c r="T37" s="349">
        <f aca="true" t="shared" si="25" ref="T37:AC37">T7-T22</f>
        <v>0</v>
      </c>
      <c r="U37" s="349">
        <f t="shared" si="25"/>
        <v>0</v>
      </c>
      <c r="V37" s="349">
        <f t="shared" si="25"/>
        <v>0</v>
      </c>
      <c r="W37" s="349">
        <f t="shared" si="25"/>
        <v>0</v>
      </c>
      <c r="X37" s="349">
        <f t="shared" si="25"/>
        <v>0</v>
      </c>
      <c r="Y37" s="349">
        <f t="shared" si="25"/>
        <v>0</v>
      </c>
      <c r="Z37" s="349">
        <f t="shared" si="25"/>
        <v>0</v>
      </c>
      <c r="AA37" s="349">
        <f t="shared" si="25"/>
        <v>0</v>
      </c>
      <c r="AB37" s="349">
        <f t="shared" si="25"/>
        <v>0</v>
      </c>
      <c r="AC37" s="350">
        <f t="shared" si="25"/>
        <v>0</v>
      </c>
    </row>
    <row r="38" spans="1:29" ht="12" thickBot="1">
      <c r="A38" s="285"/>
      <c r="B38" s="289"/>
      <c r="C38" s="285"/>
      <c r="D38" s="284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</row>
    <row r="39" spans="2:29" s="285" customFormat="1" ht="12.75" customHeight="1">
      <c r="B39" s="371" t="s">
        <v>34</v>
      </c>
      <c r="C39" s="372" t="s">
        <v>101</v>
      </c>
      <c r="D39" s="373"/>
      <c r="E39" s="984">
        <f>AC32+1</f>
        <v>2039</v>
      </c>
      <c r="F39" s="978">
        <f aca="true" t="shared" si="26" ref="F39:S39">E39+1</f>
        <v>2040</v>
      </c>
      <c r="G39" s="978">
        <f t="shared" si="26"/>
        <v>2041</v>
      </c>
      <c r="H39" s="978">
        <f t="shared" si="26"/>
        <v>2042</v>
      </c>
      <c r="I39" s="978">
        <f t="shared" si="26"/>
        <v>2043</v>
      </c>
      <c r="J39" s="978">
        <f t="shared" si="26"/>
        <v>2044</v>
      </c>
      <c r="K39" s="978">
        <f t="shared" si="26"/>
        <v>2045</v>
      </c>
      <c r="L39" s="978">
        <f t="shared" si="26"/>
        <v>2046</v>
      </c>
      <c r="M39" s="978">
        <f t="shared" si="26"/>
        <v>2047</v>
      </c>
      <c r="N39" s="978">
        <f t="shared" si="26"/>
        <v>2048</v>
      </c>
      <c r="O39" s="978">
        <f t="shared" si="26"/>
        <v>2049</v>
      </c>
      <c r="P39" s="978">
        <f t="shared" si="26"/>
        <v>2050</v>
      </c>
      <c r="Q39" s="978">
        <f t="shared" si="26"/>
        <v>2051</v>
      </c>
      <c r="R39" s="978">
        <f t="shared" si="26"/>
        <v>2052</v>
      </c>
      <c r="S39" s="978">
        <f t="shared" si="26"/>
        <v>2053</v>
      </c>
      <c r="T39" s="978">
        <f aca="true" t="shared" si="27" ref="T39:AC39">S39+1</f>
        <v>2054</v>
      </c>
      <c r="U39" s="978">
        <f t="shared" si="27"/>
        <v>2055</v>
      </c>
      <c r="V39" s="978">
        <f t="shared" si="27"/>
        <v>2056</v>
      </c>
      <c r="W39" s="978">
        <f t="shared" si="27"/>
        <v>2057</v>
      </c>
      <c r="X39" s="978">
        <f t="shared" si="27"/>
        <v>2058</v>
      </c>
      <c r="Y39" s="978">
        <f t="shared" si="27"/>
        <v>2059</v>
      </c>
      <c r="Z39" s="978">
        <f t="shared" si="27"/>
        <v>2060</v>
      </c>
      <c r="AA39" s="978">
        <f t="shared" si="27"/>
        <v>2061</v>
      </c>
      <c r="AB39" s="978">
        <f t="shared" si="27"/>
        <v>2062</v>
      </c>
      <c r="AC39" s="994">
        <f t="shared" si="27"/>
        <v>2063</v>
      </c>
    </row>
    <row r="40" spans="2:29" s="285" customFormat="1" ht="12.75" customHeight="1" thickBot="1">
      <c r="B40" s="374" t="s">
        <v>26</v>
      </c>
      <c r="C40" s="375"/>
      <c r="D40" s="383"/>
      <c r="E40" s="985">
        <f>S33+1</f>
        <v>1</v>
      </c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95"/>
    </row>
    <row r="41" spans="1:29" s="285" customFormat="1" ht="12.75" customHeight="1">
      <c r="A41" s="300"/>
      <c r="B41" s="336"/>
      <c r="C41" s="337" t="str">
        <f>C34</f>
        <v>Náklady na údržbu a provoz infrastruktury</v>
      </c>
      <c r="D41" s="353"/>
      <c r="E41" s="384">
        <f aca="true" t="shared" si="28" ref="E41:S41">E11-E26</f>
        <v>0</v>
      </c>
      <c r="F41" s="385">
        <f t="shared" si="28"/>
        <v>0</v>
      </c>
      <c r="G41" s="385">
        <f t="shared" si="28"/>
        <v>0</v>
      </c>
      <c r="H41" s="385">
        <f t="shared" si="28"/>
        <v>0</v>
      </c>
      <c r="I41" s="385">
        <f t="shared" si="28"/>
        <v>0</v>
      </c>
      <c r="J41" s="385">
        <f t="shared" si="28"/>
        <v>0</v>
      </c>
      <c r="K41" s="385">
        <f t="shared" si="28"/>
        <v>0</v>
      </c>
      <c r="L41" s="385">
        <f t="shared" si="28"/>
        <v>0</v>
      </c>
      <c r="M41" s="385">
        <f t="shared" si="28"/>
        <v>0</v>
      </c>
      <c r="N41" s="385">
        <f t="shared" si="28"/>
        <v>0</v>
      </c>
      <c r="O41" s="385">
        <f t="shared" si="28"/>
        <v>0</v>
      </c>
      <c r="P41" s="385">
        <f t="shared" si="28"/>
        <v>0</v>
      </c>
      <c r="Q41" s="385">
        <f t="shared" si="28"/>
        <v>0</v>
      </c>
      <c r="R41" s="385">
        <f t="shared" si="28"/>
        <v>0</v>
      </c>
      <c r="S41" s="385">
        <f t="shared" si="28"/>
        <v>0</v>
      </c>
      <c r="T41" s="385">
        <f aca="true" t="shared" si="29" ref="T41:AC41">T11-T26</f>
        <v>0</v>
      </c>
      <c r="U41" s="385">
        <f t="shared" si="29"/>
        <v>0</v>
      </c>
      <c r="V41" s="385">
        <f t="shared" si="29"/>
        <v>0</v>
      </c>
      <c r="W41" s="385">
        <f t="shared" si="29"/>
        <v>0</v>
      </c>
      <c r="X41" s="385">
        <f t="shared" si="29"/>
        <v>0</v>
      </c>
      <c r="Y41" s="385">
        <f t="shared" si="29"/>
        <v>0</v>
      </c>
      <c r="Z41" s="385">
        <f t="shared" si="29"/>
        <v>0</v>
      </c>
      <c r="AA41" s="385">
        <f t="shared" si="29"/>
        <v>0</v>
      </c>
      <c r="AB41" s="385">
        <f t="shared" si="29"/>
        <v>0</v>
      </c>
      <c r="AC41" s="386">
        <f t="shared" si="29"/>
        <v>0</v>
      </c>
    </row>
    <row r="42" spans="1:29" s="285" customFormat="1" ht="12.75" customHeight="1">
      <c r="A42" s="300"/>
      <c r="B42" s="354"/>
      <c r="C42" s="340" t="str">
        <f>C35</f>
        <v>Periodické provozní náklady / opravy</v>
      </c>
      <c r="D42" s="355"/>
      <c r="E42" s="387">
        <f aca="true" t="shared" si="30" ref="E42:S42">E12-E27</f>
        <v>0</v>
      </c>
      <c r="F42" s="388">
        <f t="shared" si="30"/>
        <v>0</v>
      </c>
      <c r="G42" s="388">
        <f t="shared" si="30"/>
        <v>0</v>
      </c>
      <c r="H42" s="388">
        <f t="shared" si="30"/>
        <v>0</v>
      </c>
      <c r="I42" s="388">
        <f t="shared" si="30"/>
        <v>0</v>
      </c>
      <c r="J42" s="388">
        <f t="shared" si="30"/>
        <v>0</v>
      </c>
      <c r="K42" s="388">
        <f t="shared" si="30"/>
        <v>0</v>
      </c>
      <c r="L42" s="388">
        <f t="shared" si="30"/>
        <v>0</v>
      </c>
      <c r="M42" s="388">
        <f t="shared" si="30"/>
        <v>0</v>
      </c>
      <c r="N42" s="388">
        <f t="shared" si="30"/>
        <v>0</v>
      </c>
      <c r="O42" s="388">
        <f t="shared" si="30"/>
        <v>0</v>
      </c>
      <c r="P42" s="388">
        <f t="shared" si="30"/>
        <v>0</v>
      </c>
      <c r="Q42" s="388">
        <f t="shared" si="30"/>
        <v>0</v>
      </c>
      <c r="R42" s="388">
        <f t="shared" si="30"/>
        <v>0</v>
      </c>
      <c r="S42" s="388">
        <f t="shared" si="30"/>
        <v>0</v>
      </c>
      <c r="T42" s="388">
        <f aca="true" t="shared" si="31" ref="T42:AC42">T12-T27</f>
        <v>0</v>
      </c>
      <c r="U42" s="388">
        <f t="shared" si="31"/>
        <v>0</v>
      </c>
      <c r="V42" s="388">
        <f t="shared" si="31"/>
        <v>0</v>
      </c>
      <c r="W42" s="388">
        <f t="shared" si="31"/>
        <v>0</v>
      </c>
      <c r="X42" s="388">
        <f t="shared" si="31"/>
        <v>0</v>
      </c>
      <c r="Y42" s="388">
        <f t="shared" si="31"/>
        <v>0</v>
      </c>
      <c r="Z42" s="388">
        <f t="shared" si="31"/>
        <v>0</v>
      </c>
      <c r="AA42" s="388">
        <f t="shared" si="31"/>
        <v>0</v>
      </c>
      <c r="AB42" s="388">
        <f t="shared" si="31"/>
        <v>0</v>
      </c>
      <c r="AC42" s="389">
        <f t="shared" si="31"/>
        <v>0</v>
      </c>
    </row>
    <row r="43" spans="1:29" s="285" customFormat="1" ht="12.75" customHeight="1">
      <c r="A43" s="300"/>
      <c r="B43" s="356"/>
      <c r="C43" s="342" t="str">
        <f>C36</f>
        <v>Náklady na řízení provozu</v>
      </c>
      <c r="D43" s="357"/>
      <c r="E43" s="390">
        <f aca="true" t="shared" si="32" ref="E43:S43">E13-E28</f>
        <v>0</v>
      </c>
      <c r="F43" s="346">
        <f t="shared" si="32"/>
        <v>0</v>
      </c>
      <c r="G43" s="346">
        <f t="shared" si="32"/>
        <v>0</v>
      </c>
      <c r="H43" s="346">
        <f t="shared" si="32"/>
        <v>0</v>
      </c>
      <c r="I43" s="346">
        <f t="shared" si="32"/>
        <v>0</v>
      </c>
      <c r="J43" s="346">
        <f t="shared" si="32"/>
        <v>0</v>
      </c>
      <c r="K43" s="346">
        <f t="shared" si="32"/>
        <v>0</v>
      </c>
      <c r="L43" s="346">
        <f t="shared" si="32"/>
        <v>0</v>
      </c>
      <c r="M43" s="346">
        <f t="shared" si="32"/>
        <v>0</v>
      </c>
      <c r="N43" s="346">
        <f t="shared" si="32"/>
        <v>0</v>
      </c>
      <c r="O43" s="346">
        <f t="shared" si="32"/>
        <v>0</v>
      </c>
      <c r="P43" s="346">
        <f t="shared" si="32"/>
        <v>0</v>
      </c>
      <c r="Q43" s="346">
        <f t="shared" si="32"/>
        <v>0</v>
      </c>
      <c r="R43" s="346">
        <f t="shared" si="32"/>
        <v>0</v>
      </c>
      <c r="S43" s="346">
        <f t="shared" si="32"/>
        <v>0</v>
      </c>
      <c r="T43" s="346">
        <f aca="true" t="shared" si="33" ref="T43:AC43">T13-T28</f>
        <v>0</v>
      </c>
      <c r="U43" s="346">
        <f t="shared" si="33"/>
        <v>0</v>
      </c>
      <c r="V43" s="346">
        <f t="shared" si="33"/>
        <v>0</v>
      </c>
      <c r="W43" s="346">
        <f t="shared" si="33"/>
        <v>0</v>
      </c>
      <c r="X43" s="346">
        <f t="shared" si="33"/>
        <v>0</v>
      </c>
      <c r="Y43" s="346">
        <f t="shared" si="33"/>
        <v>0</v>
      </c>
      <c r="Z43" s="346">
        <f t="shared" si="33"/>
        <v>0</v>
      </c>
      <c r="AA43" s="346">
        <f t="shared" si="33"/>
        <v>0</v>
      </c>
      <c r="AB43" s="346">
        <f t="shared" si="33"/>
        <v>0</v>
      </c>
      <c r="AC43" s="347">
        <f t="shared" si="33"/>
        <v>0</v>
      </c>
    </row>
    <row r="44" spans="1:29" ht="12.75" thickBot="1">
      <c r="A44" s="285"/>
      <c r="B44" s="358"/>
      <c r="C44" s="344" t="s">
        <v>102</v>
      </c>
      <c r="D44" s="359"/>
      <c r="E44" s="360">
        <f aca="true" t="shared" si="34" ref="E44:S44">E14-E29</f>
        <v>0</v>
      </c>
      <c r="F44" s="361">
        <f t="shared" si="34"/>
        <v>0</v>
      </c>
      <c r="G44" s="361">
        <f t="shared" si="34"/>
        <v>0</v>
      </c>
      <c r="H44" s="361">
        <f t="shared" si="34"/>
        <v>0</v>
      </c>
      <c r="I44" s="361">
        <f t="shared" si="34"/>
        <v>0</v>
      </c>
      <c r="J44" s="361">
        <f t="shared" si="34"/>
        <v>0</v>
      </c>
      <c r="K44" s="361">
        <f t="shared" si="34"/>
        <v>0</v>
      </c>
      <c r="L44" s="361">
        <f t="shared" si="34"/>
        <v>0</v>
      </c>
      <c r="M44" s="361">
        <f t="shared" si="34"/>
        <v>0</v>
      </c>
      <c r="N44" s="361">
        <f t="shared" si="34"/>
        <v>0</v>
      </c>
      <c r="O44" s="361">
        <f t="shared" si="34"/>
        <v>0</v>
      </c>
      <c r="P44" s="361">
        <f t="shared" si="34"/>
        <v>0</v>
      </c>
      <c r="Q44" s="361">
        <f t="shared" si="34"/>
        <v>0</v>
      </c>
      <c r="R44" s="361">
        <f t="shared" si="34"/>
        <v>0</v>
      </c>
      <c r="S44" s="361">
        <f t="shared" si="34"/>
        <v>0</v>
      </c>
      <c r="T44" s="361">
        <f aca="true" t="shared" si="35" ref="T44:AC44">T14-T29</f>
        <v>0</v>
      </c>
      <c r="U44" s="361">
        <f t="shared" si="35"/>
        <v>0</v>
      </c>
      <c r="V44" s="361">
        <f t="shared" si="35"/>
        <v>0</v>
      </c>
      <c r="W44" s="361">
        <f t="shared" si="35"/>
        <v>0</v>
      </c>
      <c r="X44" s="361">
        <f t="shared" si="35"/>
        <v>0</v>
      </c>
      <c r="Y44" s="361">
        <f t="shared" si="35"/>
        <v>0</v>
      </c>
      <c r="Z44" s="361">
        <f t="shared" si="35"/>
        <v>0</v>
      </c>
      <c r="AA44" s="361">
        <f t="shared" si="35"/>
        <v>0</v>
      </c>
      <c r="AB44" s="361">
        <f t="shared" si="35"/>
        <v>0</v>
      </c>
      <c r="AC44" s="362">
        <f t="shared" si="35"/>
        <v>0</v>
      </c>
    </row>
    <row r="45" spans="1:19" ht="12">
      <c r="A45" s="285"/>
      <c r="B45" s="295"/>
      <c r="C45" s="301"/>
      <c r="D45" s="92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</row>
    <row r="46" spans="1:19" ht="12" thickBot="1">
      <c r="A46" s="285"/>
      <c r="B46" s="295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</row>
    <row r="47" spans="1:4" ht="12">
      <c r="A47" s="285"/>
      <c r="B47" s="391"/>
      <c r="C47" s="392" t="s">
        <v>103</v>
      </c>
      <c r="D47" s="393">
        <f>D7</f>
        <v>0</v>
      </c>
    </row>
    <row r="48" spans="2:4" ht="12">
      <c r="B48" s="394"/>
      <c r="C48" s="395" t="s">
        <v>104</v>
      </c>
      <c r="D48" s="396">
        <f>D22</f>
        <v>0</v>
      </c>
    </row>
    <row r="49" spans="2:5" ht="12.75" thickBot="1">
      <c r="B49" s="397"/>
      <c r="C49" s="398" t="s">
        <v>105</v>
      </c>
      <c r="D49" s="399">
        <f>D37</f>
        <v>0</v>
      </c>
      <c r="E49" s="290"/>
    </row>
    <row r="50" ht="11.25"/>
    <row r="51" spans="3:9" ht="13.5" thickBot="1">
      <c r="C51" s="302"/>
      <c r="D51" s="303"/>
      <c r="E51" s="304"/>
      <c r="F51" s="305"/>
      <c r="G51" s="305"/>
      <c r="H51" s="306"/>
      <c r="I51" s="307"/>
    </row>
    <row r="52" spans="2:29" ht="15">
      <c r="B52" s="973" t="s">
        <v>231</v>
      </c>
      <c r="C52" s="400" t="s">
        <v>98</v>
      </c>
      <c r="D52" s="401" t="s">
        <v>286</v>
      </c>
      <c r="E52" s="402" t="s">
        <v>280</v>
      </c>
      <c r="F52" s="308"/>
      <c r="G52" s="308"/>
      <c r="H52" s="308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</row>
    <row r="53" spans="2:29" ht="12.75">
      <c r="B53" s="974"/>
      <c r="C53" s="403" t="s">
        <v>212</v>
      </c>
      <c r="D53" s="404">
        <v>2012</v>
      </c>
      <c r="E53" s="405">
        <v>2012</v>
      </c>
      <c r="F53" s="308"/>
      <c r="G53" s="308"/>
      <c r="H53" s="308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</row>
    <row r="54" spans="2:29" ht="13.5" thickBot="1">
      <c r="B54" s="975"/>
      <c r="C54" s="406" t="s">
        <v>216</v>
      </c>
      <c r="D54" s="407" t="s">
        <v>217</v>
      </c>
      <c r="E54" s="408" t="s">
        <v>217</v>
      </c>
      <c r="F54" s="311"/>
      <c r="G54" s="311"/>
      <c r="H54" s="311"/>
      <c r="I54" s="309"/>
      <c r="J54" s="309"/>
      <c r="K54" s="309"/>
      <c r="L54" s="312"/>
      <c r="M54" s="312"/>
      <c r="N54" s="312"/>
      <c r="O54" s="309"/>
      <c r="P54" s="309"/>
      <c r="Q54" s="309"/>
      <c r="R54" s="309"/>
      <c r="S54" s="309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</row>
    <row r="55" spans="2:29" ht="12.75">
      <c r="B55" s="409">
        <v>13167</v>
      </c>
      <c r="C55" s="410" t="s">
        <v>218</v>
      </c>
      <c r="D55" s="411">
        <v>700935</v>
      </c>
      <c r="E55" s="412">
        <v>515444</v>
      </c>
      <c r="F55" s="313"/>
      <c r="G55" s="313"/>
      <c r="H55" s="313"/>
      <c r="I55" s="309"/>
      <c r="J55" s="314"/>
      <c r="K55" s="314"/>
      <c r="L55" s="309"/>
      <c r="M55" s="309"/>
      <c r="N55" s="309"/>
      <c r="O55" s="309"/>
      <c r="P55" s="309"/>
      <c r="Q55" s="309"/>
      <c r="R55" s="309"/>
      <c r="S55" s="309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</row>
    <row r="56" spans="2:29" ht="12.75">
      <c r="B56" s="409">
        <v>31606</v>
      </c>
      <c r="C56" s="410" t="s">
        <v>219</v>
      </c>
      <c r="D56" s="411">
        <v>469759</v>
      </c>
      <c r="E56" s="412">
        <v>343235</v>
      </c>
      <c r="F56" s="313"/>
      <c r="G56" s="313"/>
      <c r="H56" s="313"/>
      <c r="I56" s="309"/>
      <c r="J56" s="314"/>
      <c r="K56" s="314"/>
      <c r="L56" s="309"/>
      <c r="M56" s="309"/>
      <c r="N56" s="309"/>
      <c r="O56" s="309"/>
      <c r="P56" s="309"/>
      <c r="Q56" s="309"/>
      <c r="R56" s="309"/>
      <c r="S56" s="309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</row>
    <row r="57" spans="2:29" ht="12.75">
      <c r="B57" s="409">
        <v>31608</v>
      </c>
      <c r="C57" s="410" t="s">
        <v>220</v>
      </c>
      <c r="D57" s="411">
        <v>537552</v>
      </c>
      <c r="E57" s="412">
        <v>394011</v>
      </c>
      <c r="F57" s="313"/>
      <c r="G57" s="313"/>
      <c r="H57" s="313"/>
      <c r="I57" s="309"/>
      <c r="J57" s="314"/>
      <c r="K57" s="314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10"/>
      <c r="Y57" s="310"/>
      <c r="Z57" s="310"/>
      <c r="AA57" s="310"/>
      <c r="AB57" s="310"/>
      <c r="AC57" s="310"/>
    </row>
    <row r="58" spans="2:29" ht="12.75">
      <c r="B58" s="409">
        <v>41333</v>
      </c>
      <c r="C58" s="410" t="s">
        <v>221</v>
      </c>
      <c r="D58" s="411">
        <v>335996</v>
      </c>
      <c r="E58" s="412">
        <v>243243</v>
      </c>
      <c r="F58" s="313"/>
      <c r="G58" s="313"/>
      <c r="H58" s="313"/>
      <c r="I58" s="309"/>
      <c r="J58" s="314"/>
      <c r="K58" s="314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10"/>
      <c r="W58" s="309"/>
      <c r="X58" s="310"/>
      <c r="Y58" s="310"/>
      <c r="Z58" s="310"/>
      <c r="AA58" s="310"/>
      <c r="AB58" s="310"/>
      <c r="AC58" s="310"/>
    </row>
    <row r="59" spans="2:29" ht="12.75">
      <c r="B59" s="409">
        <v>83135</v>
      </c>
      <c r="C59" s="410" t="s">
        <v>222</v>
      </c>
      <c r="D59" s="411">
        <v>371990</v>
      </c>
      <c r="E59" s="412">
        <v>270199</v>
      </c>
      <c r="F59" s="313"/>
      <c r="G59" s="313"/>
      <c r="H59" s="313"/>
      <c r="I59" s="309"/>
      <c r="J59" s="314"/>
      <c r="K59" s="314"/>
      <c r="L59" s="309"/>
      <c r="M59" s="309"/>
      <c r="N59" s="309"/>
      <c r="O59" s="309"/>
      <c r="P59" s="309"/>
      <c r="Q59" s="309"/>
      <c r="R59" s="309"/>
      <c r="S59" s="309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</row>
    <row r="60" spans="2:29" ht="12.75">
      <c r="B60" s="409">
        <v>83137</v>
      </c>
      <c r="C60" s="410" t="s">
        <v>223</v>
      </c>
      <c r="D60" s="411">
        <v>308844</v>
      </c>
      <c r="E60" s="412">
        <v>222345</v>
      </c>
      <c r="F60" s="313"/>
      <c r="G60" s="313"/>
      <c r="H60" s="313"/>
      <c r="I60" s="309"/>
      <c r="J60" s="314"/>
      <c r="K60" s="314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10"/>
      <c r="Y60" s="310"/>
      <c r="Z60" s="310"/>
      <c r="AA60" s="310"/>
      <c r="AB60" s="310"/>
      <c r="AC60" s="310"/>
    </row>
    <row r="61" spans="2:29" ht="12.75">
      <c r="B61" s="409">
        <v>83141</v>
      </c>
      <c r="C61" s="410" t="s">
        <v>224</v>
      </c>
      <c r="D61" s="411">
        <v>352233</v>
      </c>
      <c r="E61" s="412">
        <v>254766</v>
      </c>
      <c r="F61" s="313"/>
      <c r="G61" s="313"/>
      <c r="H61" s="313"/>
      <c r="I61" s="309"/>
      <c r="J61" s="314"/>
      <c r="K61" s="314"/>
      <c r="L61" s="309"/>
      <c r="M61" s="309"/>
      <c r="N61" s="309"/>
      <c r="O61" s="309"/>
      <c r="P61" s="309"/>
      <c r="Q61" s="309"/>
      <c r="R61" s="309"/>
      <c r="S61" s="309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</row>
    <row r="62" spans="2:29" ht="12.75">
      <c r="B62" s="409">
        <v>83142</v>
      </c>
      <c r="C62" s="410" t="s">
        <v>225</v>
      </c>
      <c r="D62" s="411">
        <v>328384</v>
      </c>
      <c r="E62" s="412">
        <v>237467</v>
      </c>
      <c r="F62" s="313"/>
      <c r="G62" s="313"/>
      <c r="H62" s="313"/>
      <c r="I62" s="309"/>
      <c r="J62" s="314"/>
      <c r="K62" s="314"/>
      <c r="L62" s="309"/>
      <c r="M62" s="309"/>
      <c r="N62" s="309"/>
      <c r="O62" s="309"/>
      <c r="P62" s="309"/>
      <c r="Q62" s="309"/>
      <c r="R62" s="309"/>
      <c r="S62" s="309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</row>
    <row r="63" spans="2:29" ht="12.75">
      <c r="B63" s="409">
        <v>83143</v>
      </c>
      <c r="C63" s="410" t="s">
        <v>226</v>
      </c>
      <c r="D63" s="411">
        <v>288974</v>
      </c>
      <c r="E63" s="412">
        <v>207450</v>
      </c>
      <c r="F63" s="313"/>
      <c r="G63" s="313"/>
      <c r="H63" s="313"/>
      <c r="I63" s="309"/>
      <c r="J63" s="314"/>
      <c r="K63" s="314"/>
      <c r="L63" s="309"/>
      <c r="M63" s="309"/>
      <c r="N63" s="309"/>
      <c r="O63" s="309"/>
      <c r="P63" s="309"/>
      <c r="Q63" s="309"/>
      <c r="R63" s="309"/>
      <c r="S63" s="309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</row>
    <row r="64" spans="2:29" ht="12.75">
      <c r="B64" s="409">
        <v>83144</v>
      </c>
      <c r="C64" s="410" t="s">
        <v>227</v>
      </c>
      <c r="D64" s="411">
        <v>312352</v>
      </c>
      <c r="E64" s="412">
        <v>225554</v>
      </c>
      <c r="F64" s="313"/>
      <c r="G64" s="313"/>
      <c r="H64" s="313"/>
      <c r="I64" s="309"/>
      <c r="J64" s="314"/>
      <c r="K64" s="314"/>
      <c r="L64" s="309"/>
      <c r="M64" s="309"/>
      <c r="N64" s="309"/>
      <c r="O64" s="309"/>
      <c r="P64" s="309"/>
      <c r="Q64" s="309"/>
      <c r="R64" s="309"/>
      <c r="S64" s="309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</row>
    <row r="65" spans="2:29" ht="12.75">
      <c r="B65" s="409">
        <v>83145</v>
      </c>
      <c r="C65" s="410" t="s">
        <v>228</v>
      </c>
      <c r="D65" s="411">
        <v>305523</v>
      </c>
      <c r="E65" s="412">
        <v>220391</v>
      </c>
      <c r="F65" s="313"/>
      <c r="G65" s="313"/>
      <c r="H65" s="313"/>
      <c r="I65" s="309"/>
      <c r="J65" s="314"/>
      <c r="K65" s="314"/>
      <c r="L65" s="309"/>
      <c r="M65" s="309"/>
      <c r="N65" s="309"/>
      <c r="O65" s="309"/>
      <c r="P65" s="309"/>
      <c r="Q65" s="309"/>
      <c r="R65" s="309"/>
      <c r="S65" s="309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</row>
    <row r="66" spans="2:29" ht="12.75">
      <c r="B66" s="409">
        <v>83146</v>
      </c>
      <c r="C66" s="410" t="s">
        <v>229</v>
      </c>
      <c r="D66" s="411">
        <v>300697</v>
      </c>
      <c r="E66" s="412">
        <v>216798</v>
      </c>
      <c r="F66" s="313"/>
      <c r="G66" s="313"/>
      <c r="H66" s="313"/>
      <c r="I66" s="309"/>
      <c r="J66" s="314"/>
      <c r="K66" s="314"/>
      <c r="L66" s="309"/>
      <c r="M66" s="309"/>
      <c r="N66" s="309"/>
      <c r="O66" s="309"/>
      <c r="P66" s="309"/>
      <c r="Q66" s="309"/>
      <c r="R66" s="309"/>
      <c r="S66" s="309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</row>
    <row r="67" spans="2:29" ht="13.5" thickBot="1">
      <c r="B67" s="413">
        <v>93398</v>
      </c>
      <c r="C67" s="414" t="s">
        <v>285</v>
      </c>
      <c r="D67" s="415">
        <v>226581</v>
      </c>
      <c r="E67" s="416">
        <v>162461</v>
      </c>
      <c r="F67" s="313"/>
      <c r="G67" s="313"/>
      <c r="H67" s="313"/>
      <c r="I67" s="309"/>
      <c r="J67" s="314"/>
      <c r="K67" s="314"/>
      <c r="L67" s="309"/>
      <c r="M67" s="309"/>
      <c r="N67" s="309"/>
      <c r="O67" s="309"/>
      <c r="P67" s="309"/>
      <c r="Q67" s="309"/>
      <c r="R67" s="309"/>
      <c r="S67" s="309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</row>
    <row r="68" spans="2:29" ht="13.5" thickBot="1"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</row>
    <row r="69" spans="2:29" ht="12.75">
      <c r="B69" s="417" t="s">
        <v>232</v>
      </c>
      <c r="C69" s="418" t="s">
        <v>287</v>
      </c>
      <c r="D69" s="419"/>
      <c r="E69" s="1002">
        <f>E32</f>
        <v>2014</v>
      </c>
      <c r="F69" s="982">
        <f aca="true" t="shared" si="36" ref="F69:AC69">F32</f>
        <v>2015</v>
      </c>
      <c r="G69" s="982">
        <f t="shared" si="36"/>
        <v>2016</v>
      </c>
      <c r="H69" s="982">
        <f t="shared" si="36"/>
        <v>2017</v>
      </c>
      <c r="I69" s="982">
        <f t="shared" si="36"/>
        <v>2018</v>
      </c>
      <c r="J69" s="982">
        <f t="shared" si="36"/>
        <v>2019</v>
      </c>
      <c r="K69" s="982">
        <f t="shared" si="36"/>
        <v>2020</v>
      </c>
      <c r="L69" s="982">
        <f t="shared" si="36"/>
        <v>2021</v>
      </c>
      <c r="M69" s="982">
        <f t="shared" si="36"/>
        <v>2022</v>
      </c>
      <c r="N69" s="982">
        <f t="shared" si="36"/>
        <v>2023</v>
      </c>
      <c r="O69" s="982">
        <f t="shared" si="36"/>
        <v>2024</v>
      </c>
      <c r="P69" s="982">
        <f t="shared" si="36"/>
        <v>2025</v>
      </c>
      <c r="Q69" s="982">
        <f t="shared" si="36"/>
        <v>2026</v>
      </c>
      <c r="R69" s="982">
        <f t="shared" si="36"/>
        <v>2027</v>
      </c>
      <c r="S69" s="982">
        <f t="shared" si="36"/>
        <v>2028</v>
      </c>
      <c r="T69" s="982">
        <f t="shared" si="36"/>
        <v>2029</v>
      </c>
      <c r="U69" s="982">
        <f t="shared" si="36"/>
        <v>2030</v>
      </c>
      <c r="V69" s="982">
        <f t="shared" si="36"/>
        <v>2031</v>
      </c>
      <c r="W69" s="982">
        <f t="shared" si="36"/>
        <v>2032</v>
      </c>
      <c r="X69" s="982">
        <f t="shared" si="36"/>
        <v>2033</v>
      </c>
      <c r="Y69" s="982">
        <f t="shared" si="36"/>
        <v>2034</v>
      </c>
      <c r="Z69" s="982">
        <f t="shared" si="36"/>
        <v>2035</v>
      </c>
      <c r="AA69" s="982">
        <f t="shared" si="36"/>
        <v>2036</v>
      </c>
      <c r="AB69" s="982">
        <f t="shared" si="36"/>
        <v>2037</v>
      </c>
      <c r="AC69" s="996">
        <f t="shared" si="36"/>
        <v>2038</v>
      </c>
    </row>
    <row r="70" spans="2:29" ht="13.5" thickBot="1">
      <c r="B70" s="420" t="s">
        <v>25</v>
      </c>
      <c r="C70" s="421"/>
      <c r="D70" s="422" t="s">
        <v>230</v>
      </c>
      <c r="E70" s="100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983"/>
      <c r="X70" s="983"/>
      <c r="Y70" s="983"/>
      <c r="Z70" s="983"/>
      <c r="AA70" s="983"/>
      <c r="AB70" s="983"/>
      <c r="AC70" s="997"/>
    </row>
    <row r="71" spans="2:29" ht="12">
      <c r="B71" s="423"/>
      <c r="C71" s="424" t="s">
        <v>235</v>
      </c>
      <c r="D71" s="425">
        <v>1</v>
      </c>
      <c r="E71" s="902">
        <v>0</v>
      </c>
      <c r="F71" s="903">
        <f>$D$71*HLOOKUP(F$69,'0 Úvod'!$D$78:$N$80,2,TRUE)</f>
        <v>0.015</v>
      </c>
      <c r="G71" s="903">
        <f>$D$71*HLOOKUP(G$69,'0 Úvod'!$D$78:$N$80,2,TRUE)</f>
        <v>0.03</v>
      </c>
      <c r="H71" s="903">
        <f>$D$71*HLOOKUP(H$69,'0 Úvod'!$D$78:$N$80,2,TRUE)</f>
        <v>0.03</v>
      </c>
      <c r="I71" s="903">
        <f>$D$71*HLOOKUP(I$69,'0 Úvod'!$D$78:$N$80,2,TRUE)</f>
        <v>0.03</v>
      </c>
      <c r="J71" s="903">
        <f>$D$71*HLOOKUP(J$69,'0 Úvod'!$D$78:$N$80,2,TRUE)</f>
        <v>0.03</v>
      </c>
      <c r="K71" s="903">
        <f>$D$71*HLOOKUP(K$69,'0 Úvod'!$D$78:$N$80,2,TRUE)</f>
        <v>0.025</v>
      </c>
      <c r="L71" s="903">
        <f>$D$71*HLOOKUP(L$69,'0 Úvod'!$D$78:$N$80,2,TRUE)</f>
        <v>0.025</v>
      </c>
      <c r="M71" s="903">
        <f>$D$71*HLOOKUP(M$69,'0 Úvod'!$D$78:$N$80,2,TRUE)</f>
        <v>0.025</v>
      </c>
      <c r="N71" s="903">
        <f>$D$71*HLOOKUP(N$69,'0 Úvod'!$D$78:$N$80,2,TRUE)</f>
        <v>0.025</v>
      </c>
      <c r="O71" s="903">
        <f>$D$71*HLOOKUP(O$69,'0 Úvod'!$D$78:$N$80,2,TRUE)</f>
        <v>0.025</v>
      </c>
      <c r="P71" s="903">
        <f>$D$71*HLOOKUP(P$69,'0 Úvod'!$D$78:$N$80,2,TRUE)</f>
        <v>0.025</v>
      </c>
      <c r="Q71" s="903">
        <f>$D$71*HLOOKUP(Q$69,'0 Úvod'!$D$78:$N$80,2,TRUE)</f>
        <v>0.025</v>
      </c>
      <c r="R71" s="903">
        <f>$D$71*HLOOKUP(R$69,'0 Úvod'!$D$78:$N$80,2,TRUE)</f>
        <v>0.025</v>
      </c>
      <c r="S71" s="903">
        <f>$D$71*HLOOKUP(S$69,'0 Úvod'!$D$78:$N$80,2,TRUE)</f>
        <v>0.025</v>
      </c>
      <c r="T71" s="903">
        <f>$D$71*HLOOKUP(T$69,'0 Úvod'!$D$78:$N$80,2,TRUE)</f>
        <v>0.025</v>
      </c>
      <c r="U71" s="903">
        <f>$D$71*HLOOKUP(U$69,'0 Úvod'!$D$78:$N$80,2,TRUE)</f>
        <v>0.02</v>
      </c>
      <c r="V71" s="903">
        <f>$D$71*HLOOKUP(V$69,'0 Úvod'!$D$78:$N$80,2,TRUE)</f>
        <v>0.02</v>
      </c>
      <c r="W71" s="903">
        <f>$D$71*HLOOKUP(W$69,'0 Úvod'!$D$78:$N$80,2,TRUE)</f>
        <v>0.02</v>
      </c>
      <c r="X71" s="903">
        <f>$D$71*HLOOKUP(X$69,'0 Úvod'!$D$78:$N$80,2,TRUE)</f>
        <v>0.02</v>
      </c>
      <c r="Y71" s="903">
        <f>$D$71*HLOOKUP(Y$69,'0 Úvod'!$D$78:$N$80,2,TRUE)</f>
        <v>0.02</v>
      </c>
      <c r="Z71" s="903">
        <f>$D$71*HLOOKUP(Z$69,'0 Úvod'!$D$78:$N$80,2,TRUE)</f>
        <v>0.02</v>
      </c>
      <c r="AA71" s="903">
        <f>$D$71*HLOOKUP(AA$69,'0 Úvod'!$D$78:$N$80,2,TRUE)</f>
        <v>0.02</v>
      </c>
      <c r="AB71" s="903">
        <f>$D$71*HLOOKUP(AB$69,'0 Úvod'!$D$78:$N$80,2,TRUE)</f>
        <v>0.02</v>
      </c>
      <c r="AC71" s="904">
        <f>$D$71*HLOOKUP(AC$69,'0 Úvod'!$D$78:$N$80,2,TRUE)</f>
        <v>0.02</v>
      </c>
    </row>
    <row r="72" spans="2:29" ht="12">
      <c r="B72" s="426">
        <f aca="true" t="shared" si="37" ref="B72:C84">B55</f>
        <v>13167</v>
      </c>
      <c r="C72" s="427" t="str">
        <f t="shared" si="37"/>
        <v>Dozorčí provozu</v>
      </c>
      <c r="D72" s="428"/>
      <c r="E72" s="905">
        <f>D55*HLOOKUP(E$69,'0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723495.627078424</v>
      </c>
      <c r="F72" s="906">
        <f>E72*(1+F$71)</f>
        <v>734348.0614846003</v>
      </c>
      <c r="G72" s="906">
        <f aca="true" t="shared" si="38" ref="G72:AC72">F72*(1+G$71)</f>
        <v>756378.5033291383</v>
      </c>
      <c r="H72" s="906">
        <f t="shared" si="38"/>
        <v>779069.8584290125</v>
      </c>
      <c r="I72" s="906">
        <f t="shared" si="38"/>
        <v>802441.9541818829</v>
      </c>
      <c r="J72" s="906">
        <f t="shared" si="38"/>
        <v>826515.2128073394</v>
      </c>
      <c r="K72" s="906">
        <f t="shared" si="38"/>
        <v>847178.0931275229</v>
      </c>
      <c r="L72" s="906">
        <f t="shared" si="38"/>
        <v>868357.5454557108</v>
      </c>
      <c r="M72" s="906">
        <f t="shared" si="38"/>
        <v>890066.4840921036</v>
      </c>
      <c r="N72" s="906">
        <f t="shared" si="38"/>
        <v>912318.1461944061</v>
      </c>
      <c r="O72" s="906">
        <f t="shared" si="38"/>
        <v>935126.0998492661</v>
      </c>
      <c r="P72" s="906">
        <f t="shared" si="38"/>
        <v>958504.2523454977</v>
      </c>
      <c r="Q72" s="906">
        <f t="shared" si="38"/>
        <v>982466.858654135</v>
      </c>
      <c r="R72" s="906">
        <f t="shared" si="38"/>
        <v>1007028.5301204883</v>
      </c>
      <c r="S72" s="906">
        <f t="shared" si="38"/>
        <v>1032204.2433735004</v>
      </c>
      <c r="T72" s="906">
        <f t="shared" si="38"/>
        <v>1058009.3494578379</v>
      </c>
      <c r="U72" s="906">
        <f t="shared" si="38"/>
        <v>1079169.5364469946</v>
      </c>
      <c r="V72" s="906">
        <f t="shared" si="38"/>
        <v>1100752.9271759347</v>
      </c>
      <c r="W72" s="906">
        <f t="shared" si="38"/>
        <v>1122767.9857194533</v>
      </c>
      <c r="X72" s="906">
        <f t="shared" si="38"/>
        <v>1145223.3454338424</v>
      </c>
      <c r="Y72" s="906">
        <f t="shared" si="38"/>
        <v>1168127.8123425192</v>
      </c>
      <c r="Z72" s="906">
        <f t="shared" si="38"/>
        <v>1191490.3685893696</v>
      </c>
      <c r="AA72" s="906">
        <f t="shared" si="38"/>
        <v>1215320.175961157</v>
      </c>
      <c r="AB72" s="906">
        <f t="shared" si="38"/>
        <v>1239626.5794803803</v>
      </c>
      <c r="AC72" s="907">
        <f t="shared" si="38"/>
        <v>1264419.111069988</v>
      </c>
    </row>
    <row r="73" spans="2:29" ht="12">
      <c r="B73" s="426">
        <f t="shared" si="37"/>
        <v>31606</v>
      </c>
      <c r="C73" s="429" t="str">
        <f t="shared" si="37"/>
        <v>Výpravčí</v>
      </c>
      <c r="D73" s="428"/>
      <c r="E73" s="908">
        <f>D56*HLOOKUP(E$69,'0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484878.8864598478</v>
      </c>
      <c r="F73" s="909">
        <f aca="true" t="shared" si="39" ref="F73:F84">E73*(1+F$71)</f>
        <v>492152.0697567455</v>
      </c>
      <c r="G73" s="909">
        <f aca="true" t="shared" si="40" ref="G73:AC73">F73*(1+G$71)</f>
        <v>506916.63184944785</v>
      </c>
      <c r="H73" s="909">
        <f t="shared" si="40"/>
        <v>522124.1308049313</v>
      </c>
      <c r="I73" s="909">
        <f t="shared" si="40"/>
        <v>537787.8547290792</v>
      </c>
      <c r="J73" s="909">
        <f t="shared" si="40"/>
        <v>553921.4903709516</v>
      </c>
      <c r="K73" s="909">
        <f t="shared" si="40"/>
        <v>567769.5276302253</v>
      </c>
      <c r="L73" s="909">
        <f t="shared" si="40"/>
        <v>581963.7658209809</v>
      </c>
      <c r="M73" s="909">
        <f t="shared" si="40"/>
        <v>596512.8599665053</v>
      </c>
      <c r="N73" s="909">
        <f t="shared" si="40"/>
        <v>611425.6814656679</v>
      </c>
      <c r="O73" s="909">
        <f t="shared" si="40"/>
        <v>626711.3235023095</v>
      </c>
      <c r="P73" s="909">
        <f t="shared" si="40"/>
        <v>642379.1065898672</v>
      </c>
      <c r="Q73" s="909">
        <f t="shared" si="40"/>
        <v>658438.5842546137</v>
      </c>
      <c r="R73" s="909">
        <f t="shared" si="40"/>
        <v>674899.548860979</v>
      </c>
      <c r="S73" s="909">
        <f t="shared" si="40"/>
        <v>691772.0375825034</v>
      </c>
      <c r="T73" s="909">
        <f t="shared" si="40"/>
        <v>709066.3385220659</v>
      </c>
      <c r="U73" s="909">
        <f t="shared" si="40"/>
        <v>723247.6652925073</v>
      </c>
      <c r="V73" s="909">
        <f t="shared" si="40"/>
        <v>737712.6185983574</v>
      </c>
      <c r="W73" s="909">
        <f t="shared" si="40"/>
        <v>752466.8709703246</v>
      </c>
      <c r="X73" s="909">
        <f t="shared" si="40"/>
        <v>767516.2083897311</v>
      </c>
      <c r="Y73" s="909">
        <f t="shared" si="40"/>
        <v>782866.5325575258</v>
      </c>
      <c r="Z73" s="909">
        <f t="shared" si="40"/>
        <v>798523.8632086763</v>
      </c>
      <c r="AA73" s="909">
        <f t="shared" si="40"/>
        <v>814494.3404728499</v>
      </c>
      <c r="AB73" s="909">
        <f t="shared" si="40"/>
        <v>830784.2272823069</v>
      </c>
      <c r="AC73" s="910">
        <f t="shared" si="40"/>
        <v>847399.9118279531</v>
      </c>
    </row>
    <row r="74" spans="2:29" ht="12">
      <c r="B74" s="426">
        <f t="shared" si="37"/>
        <v>31608</v>
      </c>
      <c r="C74" s="429" t="str">
        <f t="shared" si="37"/>
        <v>Dozorčí provozu - vedoucí směny</v>
      </c>
      <c r="D74" s="428"/>
      <c r="E74" s="908">
        <f>D57*HLOOKUP(E$69,'0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554853.9041812165</v>
      </c>
      <c r="F74" s="909">
        <f t="shared" si="39"/>
        <v>563176.7127439347</v>
      </c>
      <c r="G74" s="909">
        <f aca="true" t="shared" si="41" ref="G74:AC74">F74*(1+G$71)</f>
        <v>580072.0141262527</v>
      </c>
      <c r="H74" s="909">
        <f t="shared" si="41"/>
        <v>597474.1745500403</v>
      </c>
      <c r="I74" s="909">
        <f t="shared" si="41"/>
        <v>615398.3997865415</v>
      </c>
      <c r="J74" s="909">
        <f t="shared" si="41"/>
        <v>633860.3517801377</v>
      </c>
      <c r="K74" s="909">
        <f t="shared" si="41"/>
        <v>649706.8605746411</v>
      </c>
      <c r="L74" s="909">
        <f t="shared" si="41"/>
        <v>665949.5320890071</v>
      </c>
      <c r="M74" s="909">
        <f t="shared" si="41"/>
        <v>682598.2703912322</v>
      </c>
      <c r="N74" s="909">
        <f t="shared" si="41"/>
        <v>699663.227151013</v>
      </c>
      <c r="O74" s="909">
        <f t="shared" si="41"/>
        <v>717154.8078297882</v>
      </c>
      <c r="P74" s="909">
        <f t="shared" si="41"/>
        <v>735083.6780255329</v>
      </c>
      <c r="Q74" s="909">
        <f t="shared" si="41"/>
        <v>753460.7699761711</v>
      </c>
      <c r="R74" s="909">
        <f t="shared" si="41"/>
        <v>772297.2892255753</v>
      </c>
      <c r="S74" s="909">
        <f t="shared" si="41"/>
        <v>791604.7214562146</v>
      </c>
      <c r="T74" s="909">
        <f t="shared" si="41"/>
        <v>811394.8394926199</v>
      </c>
      <c r="U74" s="909">
        <f t="shared" si="41"/>
        <v>827622.7362824723</v>
      </c>
      <c r="V74" s="909">
        <f t="shared" si="41"/>
        <v>844175.1910081217</v>
      </c>
      <c r="W74" s="909">
        <f t="shared" si="41"/>
        <v>861058.6948282842</v>
      </c>
      <c r="X74" s="909">
        <f t="shared" si="41"/>
        <v>878279.8687248499</v>
      </c>
      <c r="Y74" s="909">
        <f t="shared" si="41"/>
        <v>895845.4660993469</v>
      </c>
      <c r="Z74" s="909">
        <f t="shared" si="41"/>
        <v>913762.3754213338</v>
      </c>
      <c r="AA74" s="909">
        <f t="shared" si="41"/>
        <v>932037.6229297605</v>
      </c>
      <c r="AB74" s="909">
        <f t="shared" si="41"/>
        <v>950678.3753883557</v>
      </c>
      <c r="AC74" s="910">
        <f t="shared" si="41"/>
        <v>969691.9428961228</v>
      </c>
    </row>
    <row r="75" spans="2:29" ht="12">
      <c r="B75" s="426">
        <f t="shared" si="37"/>
        <v>41333</v>
      </c>
      <c r="C75" s="429" t="str">
        <f t="shared" si="37"/>
        <v>Operátor železniční dopravy</v>
      </c>
      <c r="D75" s="428"/>
      <c r="E75" s="908">
        <f>D58*HLOOKUP(E$69,'0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346810.5269616186</v>
      </c>
      <c r="F75" s="909">
        <f t="shared" si="39"/>
        <v>352012.68486604287</v>
      </c>
      <c r="G75" s="909">
        <f aca="true" t="shared" si="42" ref="G75:AC75">F75*(1+G$71)</f>
        <v>362573.06541202415</v>
      </c>
      <c r="H75" s="909">
        <f t="shared" si="42"/>
        <v>373450.2573743849</v>
      </c>
      <c r="I75" s="909">
        <f t="shared" si="42"/>
        <v>384653.76509561646</v>
      </c>
      <c r="J75" s="909">
        <f t="shared" si="42"/>
        <v>396193.37804848497</v>
      </c>
      <c r="K75" s="909">
        <f t="shared" si="42"/>
        <v>406098.21249969705</v>
      </c>
      <c r="L75" s="909">
        <f t="shared" si="42"/>
        <v>416250.66781218944</v>
      </c>
      <c r="M75" s="909">
        <f t="shared" si="42"/>
        <v>426656.93450749415</v>
      </c>
      <c r="N75" s="909">
        <f t="shared" si="42"/>
        <v>437323.35787018144</v>
      </c>
      <c r="O75" s="909">
        <f t="shared" si="42"/>
        <v>448256.44181693596</v>
      </c>
      <c r="P75" s="909">
        <f t="shared" si="42"/>
        <v>459462.8528623593</v>
      </c>
      <c r="Q75" s="909">
        <f t="shared" si="42"/>
        <v>470949.4241839183</v>
      </c>
      <c r="R75" s="909">
        <f t="shared" si="42"/>
        <v>482723.1597885162</v>
      </c>
      <c r="S75" s="909">
        <f t="shared" si="42"/>
        <v>494791.238783229</v>
      </c>
      <c r="T75" s="909">
        <f t="shared" si="42"/>
        <v>507161.0197528097</v>
      </c>
      <c r="U75" s="909">
        <f t="shared" si="42"/>
        <v>517304.2401478659</v>
      </c>
      <c r="V75" s="909">
        <f t="shared" si="42"/>
        <v>527650.3249508232</v>
      </c>
      <c r="W75" s="909">
        <f t="shared" si="42"/>
        <v>538203.3314498396</v>
      </c>
      <c r="X75" s="909">
        <f t="shared" si="42"/>
        <v>548967.3980788364</v>
      </c>
      <c r="Y75" s="909">
        <f t="shared" si="42"/>
        <v>559946.7460404132</v>
      </c>
      <c r="Z75" s="909">
        <f t="shared" si="42"/>
        <v>571145.6809612215</v>
      </c>
      <c r="AA75" s="909">
        <f t="shared" si="42"/>
        <v>582568.5945804459</v>
      </c>
      <c r="AB75" s="909">
        <f t="shared" si="42"/>
        <v>594219.9664720548</v>
      </c>
      <c r="AC75" s="910">
        <f t="shared" si="42"/>
        <v>606104.365801496</v>
      </c>
    </row>
    <row r="76" spans="2:29" ht="12">
      <c r="B76" s="426">
        <f t="shared" si="37"/>
        <v>83135</v>
      </c>
      <c r="C76" s="429" t="str">
        <f t="shared" si="37"/>
        <v>Signalista</v>
      </c>
      <c r="D76" s="428"/>
      <c r="E76" s="908">
        <f>D59*HLOOKUP(E$69,'0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383963.0469542867</v>
      </c>
      <c r="F76" s="909">
        <f t="shared" si="39"/>
        <v>389722.49265860097</v>
      </c>
      <c r="G76" s="909">
        <f aca="true" t="shared" si="43" ref="G76:AC76">F76*(1+G$71)</f>
        <v>401414.167438359</v>
      </c>
      <c r="H76" s="909">
        <f t="shared" si="43"/>
        <v>413456.5924615098</v>
      </c>
      <c r="I76" s="909">
        <f t="shared" si="43"/>
        <v>425860.2902353551</v>
      </c>
      <c r="J76" s="909">
        <f t="shared" si="43"/>
        <v>438636.09894241573</v>
      </c>
      <c r="K76" s="909">
        <f t="shared" si="43"/>
        <v>449602.0014159761</v>
      </c>
      <c r="L76" s="909">
        <f t="shared" si="43"/>
        <v>460842.0514513755</v>
      </c>
      <c r="M76" s="909">
        <f t="shared" si="43"/>
        <v>472363.1027376598</v>
      </c>
      <c r="N76" s="909">
        <f t="shared" si="43"/>
        <v>484172.1803061013</v>
      </c>
      <c r="O76" s="909">
        <f t="shared" si="43"/>
        <v>496276.48481375375</v>
      </c>
      <c r="P76" s="909">
        <f t="shared" si="43"/>
        <v>508683.3969340976</v>
      </c>
      <c r="Q76" s="909">
        <f t="shared" si="43"/>
        <v>521400.48185745</v>
      </c>
      <c r="R76" s="909">
        <f t="shared" si="43"/>
        <v>534435.4939038862</v>
      </c>
      <c r="S76" s="909">
        <f t="shared" si="43"/>
        <v>547796.3812514833</v>
      </c>
      <c r="T76" s="909">
        <f t="shared" si="43"/>
        <v>561491.2907827704</v>
      </c>
      <c r="U76" s="909">
        <f t="shared" si="43"/>
        <v>572721.1165984258</v>
      </c>
      <c r="V76" s="909">
        <f t="shared" si="43"/>
        <v>584175.5389303943</v>
      </c>
      <c r="W76" s="909">
        <f t="shared" si="43"/>
        <v>595859.0497090023</v>
      </c>
      <c r="X76" s="909">
        <f t="shared" si="43"/>
        <v>607776.2307031823</v>
      </c>
      <c r="Y76" s="909">
        <f t="shared" si="43"/>
        <v>619931.755317246</v>
      </c>
      <c r="Z76" s="909">
        <f t="shared" si="43"/>
        <v>632330.3904235909</v>
      </c>
      <c r="AA76" s="909">
        <f t="shared" si="43"/>
        <v>644976.9982320627</v>
      </c>
      <c r="AB76" s="909">
        <f t="shared" si="43"/>
        <v>657876.5381967039</v>
      </c>
      <c r="AC76" s="910">
        <f t="shared" si="43"/>
        <v>671034.068960638</v>
      </c>
    </row>
    <row r="77" spans="2:29" ht="12">
      <c r="B77" s="426">
        <f t="shared" si="37"/>
        <v>83137</v>
      </c>
      <c r="C77" s="429" t="str">
        <f t="shared" si="37"/>
        <v>Výhybkář</v>
      </c>
      <c r="D77" s="428"/>
      <c r="E77" s="908">
        <f>D60*HLOOKUP(E$69,'0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318784.59978373</v>
      </c>
      <c r="F77" s="909">
        <f t="shared" si="39"/>
        <v>323566.36878048594</v>
      </c>
      <c r="G77" s="909">
        <f aca="true" t="shared" si="44" ref="G77:AC77">F77*(1+G$71)</f>
        <v>333273.35984390054</v>
      </c>
      <c r="H77" s="909">
        <f t="shared" si="44"/>
        <v>343271.56063921755</v>
      </c>
      <c r="I77" s="909">
        <f t="shared" si="44"/>
        <v>353569.7074583941</v>
      </c>
      <c r="J77" s="909">
        <f t="shared" si="44"/>
        <v>364176.79868214595</v>
      </c>
      <c r="K77" s="909">
        <f t="shared" si="44"/>
        <v>373281.2186491996</v>
      </c>
      <c r="L77" s="909">
        <f t="shared" si="44"/>
        <v>382613.2491154295</v>
      </c>
      <c r="M77" s="909">
        <f t="shared" si="44"/>
        <v>392178.5803433152</v>
      </c>
      <c r="N77" s="909">
        <f t="shared" si="44"/>
        <v>401983.04485189804</v>
      </c>
      <c r="O77" s="909">
        <f t="shared" si="44"/>
        <v>412032.6209731955</v>
      </c>
      <c r="P77" s="909">
        <f t="shared" si="44"/>
        <v>422333.4364975253</v>
      </c>
      <c r="Q77" s="909">
        <f t="shared" si="44"/>
        <v>432891.7724099634</v>
      </c>
      <c r="R77" s="909">
        <f t="shared" si="44"/>
        <v>443714.06672021246</v>
      </c>
      <c r="S77" s="909">
        <f t="shared" si="44"/>
        <v>454806.91838821775</v>
      </c>
      <c r="T77" s="909">
        <f t="shared" si="44"/>
        <v>466177.09134792315</v>
      </c>
      <c r="U77" s="909">
        <f t="shared" si="44"/>
        <v>475500.63317488163</v>
      </c>
      <c r="V77" s="909">
        <f t="shared" si="44"/>
        <v>485010.6458383793</v>
      </c>
      <c r="W77" s="909">
        <f t="shared" si="44"/>
        <v>494710.85875514685</v>
      </c>
      <c r="X77" s="909">
        <f t="shared" si="44"/>
        <v>504605.0759302498</v>
      </c>
      <c r="Y77" s="909">
        <f t="shared" si="44"/>
        <v>514697.17744885484</v>
      </c>
      <c r="Z77" s="909">
        <f t="shared" si="44"/>
        <v>524991.1209978319</v>
      </c>
      <c r="AA77" s="909">
        <f t="shared" si="44"/>
        <v>535490.9434177886</v>
      </c>
      <c r="AB77" s="909">
        <f t="shared" si="44"/>
        <v>546200.7622861444</v>
      </c>
      <c r="AC77" s="910">
        <f t="shared" si="44"/>
        <v>557124.7775318674</v>
      </c>
    </row>
    <row r="78" spans="2:29" ht="12">
      <c r="B78" s="426">
        <f t="shared" si="37"/>
        <v>83141</v>
      </c>
      <c r="C78" s="429" t="str">
        <f t="shared" si="37"/>
        <v>Staniční dozorce</v>
      </c>
      <c r="D78" s="428"/>
      <c r="E78" s="908">
        <f>D61*HLOOKUP(E$69,'0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363570.1387613895</v>
      </c>
      <c r="F78" s="909">
        <f t="shared" si="39"/>
        <v>369023.69084281026</v>
      </c>
      <c r="G78" s="909">
        <f aca="true" t="shared" si="45" ref="G78:AC78">F78*(1+G$71)</f>
        <v>380094.40156809456</v>
      </c>
      <c r="H78" s="909">
        <f t="shared" si="45"/>
        <v>391497.2336151374</v>
      </c>
      <c r="I78" s="909">
        <f t="shared" si="45"/>
        <v>403242.15062359156</v>
      </c>
      <c r="J78" s="909">
        <f t="shared" si="45"/>
        <v>415339.4151422993</v>
      </c>
      <c r="K78" s="909">
        <f t="shared" si="45"/>
        <v>425722.9005208568</v>
      </c>
      <c r="L78" s="909">
        <f t="shared" si="45"/>
        <v>436365.97303387814</v>
      </c>
      <c r="M78" s="909">
        <f t="shared" si="45"/>
        <v>447275.12235972506</v>
      </c>
      <c r="N78" s="909">
        <f t="shared" si="45"/>
        <v>458457.00041871815</v>
      </c>
      <c r="O78" s="909">
        <f t="shared" si="45"/>
        <v>469918.4254291861</v>
      </c>
      <c r="P78" s="909">
        <f t="shared" si="45"/>
        <v>481666.3860649157</v>
      </c>
      <c r="Q78" s="909">
        <f t="shared" si="45"/>
        <v>493708.04571653856</v>
      </c>
      <c r="R78" s="909">
        <f t="shared" si="45"/>
        <v>506050.746859452</v>
      </c>
      <c r="S78" s="909">
        <f t="shared" si="45"/>
        <v>518702.0155309382</v>
      </c>
      <c r="T78" s="909">
        <f t="shared" si="45"/>
        <v>531669.5659192116</v>
      </c>
      <c r="U78" s="909">
        <f t="shared" si="45"/>
        <v>542302.9572375958</v>
      </c>
      <c r="V78" s="909">
        <f t="shared" si="45"/>
        <v>553149.0163823478</v>
      </c>
      <c r="W78" s="909">
        <f t="shared" si="45"/>
        <v>564211.9967099947</v>
      </c>
      <c r="X78" s="909">
        <f t="shared" si="45"/>
        <v>575496.2366441947</v>
      </c>
      <c r="Y78" s="909">
        <f t="shared" si="45"/>
        <v>587006.1613770786</v>
      </c>
      <c r="Z78" s="909">
        <f t="shared" si="45"/>
        <v>598746.2846046202</v>
      </c>
      <c r="AA78" s="909">
        <f t="shared" si="45"/>
        <v>610721.2102967126</v>
      </c>
      <c r="AB78" s="909">
        <f t="shared" si="45"/>
        <v>622935.6345026469</v>
      </c>
      <c r="AC78" s="910">
        <f t="shared" si="45"/>
        <v>635394.3471926998</v>
      </c>
    </row>
    <row r="79" spans="2:29" ht="12">
      <c r="B79" s="426">
        <f t="shared" si="37"/>
        <v>83142</v>
      </c>
      <c r="C79" s="429" t="str">
        <f t="shared" si="37"/>
        <v>Dozorce výhybek</v>
      </c>
      <c r="D79" s="428"/>
      <c r="E79" s="908">
        <f>D62*HLOOKUP(E$69,'0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338953.5235114828</v>
      </c>
      <c r="F79" s="909">
        <f t="shared" si="39"/>
        <v>344037.82636415504</v>
      </c>
      <c r="G79" s="909">
        <f aca="true" t="shared" si="46" ref="G79:AC79">F79*(1+G$71)</f>
        <v>354358.9611550797</v>
      </c>
      <c r="H79" s="909">
        <f t="shared" si="46"/>
        <v>364989.7299897321</v>
      </c>
      <c r="I79" s="909">
        <f t="shared" si="46"/>
        <v>375939.4218894241</v>
      </c>
      <c r="J79" s="909">
        <f t="shared" si="46"/>
        <v>387217.6045461068</v>
      </c>
      <c r="K79" s="909">
        <f t="shared" si="46"/>
        <v>396898.04465975944</v>
      </c>
      <c r="L79" s="909">
        <f t="shared" si="46"/>
        <v>406820.4957762534</v>
      </c>
      <c r="M79" s="909">
        <f t="shared" si="46"/>
        <v>416991.0081706597</v>
      </c>
      <c r="N79" s="909">
        <f t="shared" si="46"/>
        <v>427415.7833749262</v>
      </c>
      <c r="O79" s="909">
        <f t="shared" si="46"/>
        <v>438101.1779592993</v>
      </c>
      <c r="P79" s="909">
        <f t="shared" si="46"/>
        <v>449053.70740828174</v>
      </c>
      <c r="Q79" s="909">
        <f t="shared" si="46"/>
        <v>460280.05009348877</v>
      </c>
      <c r="R79" s="909">
        <f t="shared" si="46"/>
        <v>471787.05134582595</v>
      </c>
      <c r="S79" s="909">
        <f t="shared" si="46"/>
        <v>483581.72762947157</v>
      </c>
      <c r="T79" s="909">
        <f t="shared" si="46"/>
        <v>495671.2708202083</v>
      </c>
      <c r="U79" s="909">
        <f t="shared" si="46"/>
        <v>505584.69623661245</v>
      </c>
      <c r="V79" s="909">
        <f t="shared" si="46"/>
        <v>515696.3901613447</v>
      </c>
      <c r="W79" s="909">
        <f t="shared" si="46"/>
        <v>526010.3179645716</v>
      </c>
      <c r="X79" s="909">
        <f t="shared" si="46"/>
        <v>536530.5243238631</v>
      </c>
      <c r="Y79" s="909">
        <f t="shared" si="46"/>
        <v>547261.1348103404</v>
      </c>
      <c r="Z79" s="909">
        <f t="shared" si="46"/>
        <v>558206.3575065471</v>
      </c>
      <c r="AA79" s="909">
        <f t="shared" si="46"/>
        <v>569370.484656678</v>
      </c>
      <c r="AB79" s="909">
        <f t="shared" si="46"/>
        <v>580757.8943498116</v>
      </c>
      <c r="AC79" s="910">
        <f t="shared" si="46"/>
        <v>592373.0522368079</v>
      </c>
    </row>
    <row r="80" spans="2:29" ht="12">
      <c r="B80" s="426">
        <f t="shared" si="37"/>
        <v>83143</v>
      </c>
      <c r="C80" s="429" t="str">
        <f t="shared" si="37"/>
        <v>Závorář</v>
      </c>
      <c r="D80" s="428"/>
      <c r="E80" s="908">
        <f>D63*HLOOKUP(E$69,'0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298275.0545191216</v>
      </c>
      <c r="F80" s="909">
        <f t="shared" si="39"/>
        <v>302749.1803369084</v>
      </c>
      <c r="G80" s="909">
        <f aca="true" t="shared" si="47" ref="G80:AC80">F80*(1+G$71)</f>
        <v>311831.6557470156</v>
      </c>
      <c r="H80" s="909">
        <f t="shared" si="47"/>
        <v>321186.6054194261</v>
      </c>
      <c r="I80" s="909">
        <f t="shared" si="47"/>
        <v>330822.2035820089</v>
      </c>
      <c r="J80" s="909">
        <f t="shared" si="47"/>
        <v>340746.86968946917</v>
      </c>
      <c r="K80" s="909">
        <f t="shared" si="47"/>
        <v>349265.5414317059</v>
      </c>
      <c r="L80" s="909">
        <f t="shared" si="47"/>
        <v>357997.17996749846</v>
      </c>
      <c r="M80" s="909">
        <f t="shared" si="47"/>
        <v>366947.1094666859</v>
      </c>
      <c r="N80" s="909">
        <f t="shared" si="47"/>
        <v>376120.787203353</v>
      </c>
      <c r="O80" s="909">
        <f t="shared" si="47"/>
        <v>385523.8068834368</v>
      </c>
      <c r="P80" s="909">
        <f t="shared" si="47"/>
        <v>395161.90205552266</v>
      </c>
      <c r="Q80" s="909">
        <f t="shared" si="47"/>
        <v>405040.9496069107</v>
      </c>
      <c r="R80" s="909">
        <f t="shared" si="47"/>
        <v>415166.97334708343</v>
      </c>
      <c r="S80" s="909">
        <f t="shared" si="47"/>
        <v>425546.1476807605</v>
      </c>
      <c r="T80" s="909">
        <f t="shared" si="47"/>
        <v>436184.8013727795</v>
      </c>
      <c r="U80" s="909">
        <f t="shared" si="47"/>
        <v>444908.4974002351</v>
      </c>
      <c r="V80" s="909">
        <f t="shared" si="47"/>
        <v>453806.6673482398</v>
      </c>
      <c r="W80" s="909">
        <f t="shared" si="47"/>
        <v>462882.8006952046</v>
      </c>
      <c r="X80" s="909">
        <f t="shared" si="47"/>
        <v>472140.45670910866</v>
      </c>
      <c r="Y80" s="909">
        <f t="shared" si="47"/>
        <v>481583.26584329084</v>
      </c>
      <c r="Z80" s="909">
        <f t="shared" si="47"/>
        <v>491214.9311601567</v>
      </c>
      <c r="AA80" s="909">
        <f t="shared" si="47"/>
        <v>501039.2297833598</v>
      </c>
      <c r="AB80" s="909">
        <f t="shared" si="47"/>
        <v>511060.014379027</v>
      </c>
      <c r="AC80" s="910">
        <f t="shared" si="47"/>
        <v>521281.21466660756</v>
      </c>
    </row>
    <row r="81" spans="2:29" ht="12">
      <c r="B81" s="426">
        <f t="shared" si="37"/>
        <v>83144</v>
      </c>
      <c r="C81" s="429" t="str">
        <f t="shared" si="37"/>
        <v>Závorář s prodejem jízdenek</v>
      </c>
      <c r="D81" s="428"/>
      <c r="E81" s="908">
        <f>D64*HLOOKUP(E$69,'0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322405.5099391525</v>
      </c>
      <c r="F81" s="909">
        <f t="shared" si="39"/>
        <v>327241.59258823976</v>
      </c>
      <c r="G81" s="909">
        <f aca="true" t="shared" si="48" ref="G81:AC81">F81*(1+G$71)</f>
        <v>337058.840365887</v>
      </c>
      <c r="H81" s="909">
        <f t="shared" si="48"/>
        <v>347170.60557686357</v>
      </c>
      <c r="I81" s="909">
        <f t="shared" si="48"/>
        <v>357585.72374416946</v>
      </c>
      <c r="J81" s="909">
        <f t="shared" si="48"/>
        <v>368313.29545649455</v>
      </c>
      <c r="K81" s="909">
        <f t="shared" si="48"/>
        <v>377521.12784290686</v>
      </c>
      <c r="L81" s="909">
        <f t="shared" si="48"/>
        <v>386959.1560389795</v>
      </c>
      <c r="M81" s="909">
        <f t="shared" si="48"/>
        <v>396633.1349399539</v>
      </c>
      <c r="N81" s="909">
        <f t="shared" si="48"/>
        <v>406548.9633134527</v>
      </c>
      <c r="O81" s="909">
        <f t="shared" si="48"/>
        <v>416712.687396289</v>
      </c>
      <c r="P81" s="909">
        <f t="shared" si="48"/>
        <v>427130.50458119623</v>
      </c>
      <c r="Q81" s="909">
        <f t="shared" si="48"/>
        <v>437808.7671957261</v>
      </c>
      <c r="R81" s="909">
        <f t="shared" si="48"/>
        <v>448753.9863756192</v>
      </c>
      <c r="S81" s="909">
        <f t="shared" si="48"/>
        <v>459972.83603500965</v>
      </c>
      <c r="T81" s="909">
        <f t="shared" si="48"/>
        <v>471472.15693588485</v>
      </c>
      <c r="U81" s="909">
        <f t="shared" si="48"/>
        <v>480901.6000746026</v>
      </c>
      <c r="V81" s="909">
        <f t="shared" si="48"/>
        <v>490519.6320760946</v>
      </c>
      <c r="W81" s="909">
        <f t="shared" si="48"/>
        <v>500330.0247176165</v>
      </c>
      <c r="X81" s="909">
        <f t="shared" si="48"/>
        <v>510336.62521196884</v>
      </c>
      <c r="Y81" s="909">
        <f t="shared" si="48"/>
        <v>520543.3577162082</v>
      </c>
      <c r="Z81" s="909">
        <f t="shared" si="48"/>
        <v>530954.2248705324</v>
      </c>
      <c r="AA81" s="909">
        <f t="shared" si="48"/>
        <v>541573.3093679431</v>
      </c>
      <c r="AB81" s="909">
        <f t="shared" si="48"/>
        <v>552404.7755553019</v>
      </c>
      <c r="AC81" s="910">
        <f t="shared" si="48"/>
        <v>563452.871066408</v>
      </c>
    </row>
    <row r="82" spans="2:29" ht="12">
      <c r="B82" s="426">
        <f t="shared" si="37"/>
        <v>83145</v>
      </c>
      <c r="C82" s="429" t="str">
        <f t="shared" si="37"/>
        <v>Hradlář - hláskař</v>
      </c>
      <c r="D82" s="428"/>
      <c r="E82" s="908">
        <f>D65*HLOOKUP(E$69,'0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315356.70849919226</v>
      </c>
      <c r="F82" s="909">
        <f t="shared" si="39"/>
        <v>320087.05912668013</v>
      </c>
      <c r="G82" s="909">
        <f aca="true" t="shared" si="49" ref="G82:AC82">F82*(1+G$71)</f>
        <v>329689.67090048053</v>
      </c>
      <c r="H82" s="909">
        <f t="shared" si="49"/>
        <v>339580.36102749495</v>
      </c>
      <c r="I82" s="909">
        <f t="shared" si="49"/>
        <v>349767.7718583198</v>
      </c>
      <c r="J82" s="909">
        <f t="shared" si="49"/>
        <v>360260.8050140694</v>
      </c>
      <c r="K82" s="909">
        <f t="shared" si="49"/>
        <v>369267.32513942115</v>
      </c>
      <c r="L82" s="909">
        <f t="shared" si="49"/>
        <v>378499.00826790667</v>
      </c>
      <c r="M82" s="909">
        <f t="shared" si="49"/>
        <v>387961.4834746043</v>
      </c>
      <c r="N82" s="909">
        <f t="shared" si="49"/>
        <v>397660.52056146937</v>
      </c>
      <c r="O82" s="909">
        <f t="shared" si="49"/>
        <v>407602.03357550607</v>
      </c>
      <c r="P82" s="909">
        <f t="shared" si="49"/>
        <v>417792.0844148937</v>
      </c>
      <c r="Q82" s="909">
        <f t="shared" si="49"/>
        <v>428236.886525266</v>
      </c>
      <c r="R82" s="909">
        <f t="shared" si="49"/>
        <v>438942.8086883976</v>
      </c>
      <c r="S82" s="909">
        <f t="shared" si="49"/>
        <v>449916.3789056075</v>
      </c>
      <c r="T82" s="909">
        <f t="shared" si="49"/>
        <v>461164.28837824764</v>
      </c>
      <c r="U82" s="909">
        <f t="shared" si="49"/>
        <v>470387.5741458126</v>
      </c>
      <c r="V82" s="909">
        <f t="shared" si="49"/>
        <v>479795.32562872884</v>
      </c>
      <c r="W82" s="909">
        <f t="shared" si="49"/>
        <v>489391.2321413034</v>
      </c>
      <c r="X82" s="909">
        <f t="shared" si="49"/>
        <v>499179.0567841295</v>
      </c>
      <c r="Y82" s="909">
        <f t="shared" si="49"/>
        <v>509162.6379198121</v>
      </c>
      <c r="Z82" s="909">
        <f t="shared" si="49"/>
        <v>519345.8906782084</v>
      </c>
      <c r="AA82" s="909">
        <f t="shared" si="49"/>
        <v>529732.8084917725</v>
      </c>
      <c r="AB82" s="909">
        <f t="shared" si="49"/>
        <v>540327.464661608</v>
      </c>
      <c r="AC82" s="910">
        <f t="shared" si="49"/>
        <v>551134.0139548401</v>
      </c>
    </row>
    <row r="83" spans="2:29" ht="12">
      <c r="B83" s="426">
        <f t="shared" si="37"/>
        <v>83146</v>
      </c>
      <c r="C83" s="429" t="str">
        <f t="shared" si="37"/>
        <v>Hradlář - hláskař s prodejem jízdenek</v>
      </c>
      <c r="D83" s="428"/>
      <c r="E83" s="908">
        <f>D66*HLOOKUP(E$69,'0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310375.376569298</v>
      </c>
      <c r="F83" s="909">
        <f t="shared" si="39"/>
        <v>315031.00721783744</v>
      </c>
      <c r="G83" s="909">
        <f aca="true" t="shared" si="50" ref="G83:AC83">F83*(1+G$71)</f>
        <v>324481.93743437255</v>
      </c>
      <c r="H83" s="909">
        <f t="shared" si="50"/>
        <v>334216.39555740374</v>
      </c>
      <c r="I83" s="909">
        <f t="shared" si="50"/>
        <v>344242.88742412586</v>
      </c>
      <c r="J83" s="909">
        <f t="shared" si="50"/>
        <v>354570.17404684966</v>
      </c>
      <c r="K83" s="909">
        <f t="shared" si="50"/>
        <v>363434.42839802086</v>
      </c>
      <c r="L83" s="909">
        <f t="shared" si="50"/>
        <v>372520.28910797136</v>
      </c>
      <c r="M83" s="909">
        <f t="shared" si="50"/>
        <v>381833.29633567063</v>
      </c>
      <c r="N83" s="909">
        <f t="shared" si="50"/>
        <v>391379.1287440624</v>
      </c>
      <c r="O83" s="909">
        <f t="shared" si="50"/>
        <v>401163.60696266394</v>
      </c>
      <c r="P83" s="909">
        <f t="shared" si="50"/>
        <v>411192.6971367305</v>
      </c>
      <c r="Q83" s="909">
        <f t="shared" si="50"/>
        <v>421472.5145651487</v>
      </c>
      <c r="R83" s="909">
        <f t="shared" si="50"/>
        <v>432009.32742927736</v>
      </c>
      <c r="S83" s="909">
        <f t="shared" si="50"/>
        <v>442809.5606150093</v>
      </c>
      <c r="T83" s="909">
        <f t="shared" si="50"/>
        <v>453879.7996303845</v>
      </c>
      <c r="U83" s="909">
        <f t="shared" si="50"/>
        <v>462957.3956229922</v>
      </c>
      <c r="V83" s="909">
        <f t="shared" si="50"/>
        <v>472216.54353545205</v>
      </c>
      <c r="W83" s="909">
        <f t="shared" si="50"/>
        <v>481660.8744061611</v>
      </c>
      <c r="X83" s="909">
        <f t="shared" si="50"/>
        <v>491294.0918942843</v>
      </c>
      <c r="Y83" s="909">
        <f t="shared" si="50"/>
        <v>501119.97373217</v>
      </c>
      <c r="Z83" s="909">
        <f t="shared" si="50"/>
        <v>511142.3732068134</v>
      </c>
      <c r="AA83" s="909">
        <f t="shared" si="50"/>
        <v>521365.22067094967</v>
      </c>
      <c r="AB83" s="909">
        <f t="shared" si="50"/>
        <v>531792.5250843687</v>
      </c>
      <c r="AC83" s="910">
        <f t="shared" si="50"/>
        <v>542428.375586056</v>
      </c>
    </row>
    <row r="84" spans="2:29" ht="12.75" thickBot="1">
      <c r="B84" s="430">
        <f t="shared" si="37"/>
        <v>93398</v>
      </c>
      <c r="C84" s="431" t="str">
        <f t="shared" si="37"/>
        <v>Dělník v dopravě - staniční dělník</v>
      </c>
      <c r="D84" s="432"/>
      <c r="E84" s="911">
        <f>D67*HLOOKUP(E$69,'0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233873.84376448087</v>
      </c>
      <c r="F84" s="912">
        <f t="shared" si="39"/>
        <v>237381.95142094805</v>
      </c>
      <c r="G84" s="912">
        <f aca="true" t="shared" si="51" ref="G84:AC84">F84*(1+G$71)</f>
        <v>244503.4099635765</v>
      </c>
      <c r="H84" s="912">
        <f t="shared" si="51"/>
        <v>251838.5122624838</v>
      </c>
      <c r="I84" s="912">
        <f t="shared" si="51"/>
        <v>259393.6676303583</v>
      </c>
      <c r="J84" s="912">
        <f t="shared" si="51"/>
        <v>267175.47765926906</v>
      </c>
      <c r="K84" s="912">
        <f t="shared" si="51"/>
        <v>273854.8646007508</v>
      </c>
      <c r="L84" s="912">
        <f t="shared" si="51"/>
        <v>280701.23621576955</v>
      </c>
      <c r="M84" s="912">
        <f t="shared" si="51"/>
        <v>287718.7671211638</v>
      </c>
      <c r="N84" s="912">
        <f t="shared" si="51"/>
        <v>294911.7362991928</v>
      </c>
      <c r="O84" s="912">
        <f t="shared" si="51"/>
        <v>302284.5297066726</v>
      </c>
      <c r="P84" s="912">
        <f t="shared" si="51"/>
        <v>309841.64294933935</v>
      </c>
      <c r="Q84" s="912">
        <f t="shared" si="51"/>
        <v>317587.6840230728</v>
      </c>
      <c r="R84" s="912">
        <f t="shared" si="51"/>
        <v>325527.3761236496</v>
      </c>
      <c r="S84" s="912">
        <f t="shared" si="51"/>
        <v>333665.5605267408</v>
      </c>
      <c r="T84" s="912">
        <f t="shared" si="51"/>
        <v>342007.1995399093</v>
      </c>
      <c r="U84" s="912">
        <f t="shared" si="51"/>
        <v>348847.3435307075</v>
      </c>
      <c r="V84" s="912">
        <f t="shared" si="51"/>
        <v>355824.29040132166</v>
      </c>
      <c r="W84" s="912">
        <f t="shared" si="51"/>
        <v>362940.7762093481</v>
      </c>
      <c r="X84" s="912">
        <f t="shared" si="51"/>
        <v>370199.5917335351</v>
      </c>
      <c r="Y84" s="912">
        <f t="shared" si="51"/>
        <v>377603.5835682058</v>
      </c>
      <c r="Z84" s="912">
        <f t="shared" si="51"/>
        <v>385155.65523956995</v>
      </c>
      <c r="AA84" s="912">
        <f t="shared" si="51"/>
        <v>392858.76834436134</v>
      </c>
      <c r="AB84" s="912">
        <f t="shared" si="51"/>
        <v>400715.9437112486</v>
      </c>
      <c r="AC84" s="913">
        <f t="shared" si="51"/>
        <v>408730.26258547354</v>
      </c>
    </row>
    <row r="85" spans="2:29" ht="12" thickBot="1">
      <c r="B85" s="315"/>
      <c r="C85" s="316"/>
      <c r="D85" s="317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</row>
    <row r="86" spans="2:29" ht="12.75">
      <c r="B86" s="417" t="str">
        <f>B69</f>
        <v>3.5.</v>
      </c>
      <c r="C86" s="433" t="str">
        <f>C69</f>
        <v>Růst nákladů na řízení provozu</v>
      </c>
      <c r="D86" s="434"/>
      <c r="E86" s="1002">
        <f aca="true" t="shared" si="52" ref="E86:AC86">E39</f>
        <v>2039</v>
      </c>
      <c r="F86" s="982">
        <f t="shared" si="52"/>
        <v>2040</v>
      </c>
      <c r="G86" s="982">
        <f t="shared" si="52"/>
        <v>2041</v>
      </c>
      <c r="H86" s="982">
        <f t="shared" si="52"/>
        <v>2042</v>
      </c>
      <c r="I86" s="982">
        <f t="shared" si="52"/>
        <v>2043</v>
      </c>
      <c r="J86" s="982">
        <f t="shared" si="52"/>
        <v>2044</v>
      </c>
      <c r="K86" s="982">
        <f t="shared" si="52"/>
        <v>2045</v>
      </c>
      <c r="L86" s="982">
        <f t="shared" si="52"/>
        <v>2046</v>
      </c>
      <c r="M86" s="982">
        <f t="shared" si="52"/>
        <v>2047</v>
      </c>
      <c r="N86" s="982">
        <f t="shared" si="52"/>
        <v>2048</v>
      </c>
      <c r="O86" s="982">
        <f t="shared" si="52"/>
        <v>2049</v>
      </c>
      <c r="P86" s="982">
        <f t="shared" si="52"/>
        <v>2050</v>
      </c>
      <c r="Q86" s="982">
        <f t="shared" si="52"/>
        <v>2051</v>
      </c>
      <c r="R86" s="982">
        <f t="shared" si="52"/>
        <v>2052</v>
      </c>
      <c r="S86" s="982">
        <f t="shared" si="52"/>
        <v>2053</v>
      </c>
      <c r="T86" s="982">
        <f t="shared" si="52"/>
        <v>2054</v>
      </c>
      <c r="U86" s="982">
        <f t="shared" si="52"/>
        <v>2055</v>
      </c>
      <c r="V86" s="982">
        <f t="shared" si="52"/>
        <v>2056</v>
      </c>
      <c r="W86" s="982">
        <f t="shared" si="52"/>
        <v>2057</v>
      </c>
      <c r="X86" s="982">
        <f t="shared" si="52"/>
        <v>2058</v>
      </c>
      <c r="Y86" s="982">
        <f t="shared" si="52"/>
        <v>2059</v>
      </c>
      <c r="Z86" s="982">
        <f t="shared" si="52"/>
        <v>2060</v>
      </c>
      <c r="AA86" s="982">
        <f t="shared" si="52"/>
        <v>2061</v>
      </c>
      <c r="AB86" s="982">
        <f t="shared" si="52"/>
        <v>2062</v>
      </c>
      <c r="AC86" s="996">
        <f t="shared" si="52"/>
        <v>2063</v>
      </c>
    </row>
    <row r="87" spans="2:29" ht="13.5" thickBot="1">
      <c r="B87" s="420" t="s">
        <v>26</v>
      </c>
      <c r="C87" s="421"/>
      <c r="D87" s="422" t="s">
        <v>230</v>
      </c>
      <c r="E87" s="100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997"/>
    </row>
    <row r="88" spans="2:29" ht="12">
      <c r="B88" s="423"/>
      <c r="C88" s="424" t="str">
        <f>C71</f>
        <v>Růst reálné mzdy v dopravě</v>
      </c>
      <c r="D88" s="435">
        <f>D71</f>
        <v>1</v>
      </c>
      <c r="E88" s="914">
        <f>$D$71*HLOOKUP(E$86,'0 Úvod'!$D$78:$N$80,2,TRUE)</f>
        <v>0.02</v>
      </c>
      <c r="F88" s="903">
        <f>$D$71*HLOOKUP(F$86,'0 Úvod'!$D$78:$N$80,2,TRUE)</f>
        <v>0.02</v>
      </c>
      <c r="G88" s="903">
        <f>$D$71*HLOOKUP(G$86,'0 Úvod'!$D$78:$N$80,2,TRUE)</f>
        <v>0.02</v>
      </c>
      <c r="H88" s="903">
        <f>$D$71*HLOOKUP(H$86,'0 Úvod'!$D$78:$N$80,2,TRUE)</f>
        <v>0.02</v>
      </c>
      <c r="I88" s="903">
        <f>$D$71*HLOOKUP(I$86,'0 Úvod'!$D$78:$N$80,2,TRUE)</f>
        <v>0.02</v>
      </c>
      <c r="J88" s="903">
        <f>$D$71*HLOOKUP(J$86,'0 Úvod'!$D$78:$N$80,2,TRUE)</f>
        <v>0.02</v>
      </c>
      <c r="K88" s="903">
        <f>$D$71*HLOOKUP(K$86,'0 Úvod'!$D$78:$N$80,2,TRUE)</f>
        <v>0.02</v>
      </c>
      <c r="L88" s="903">
        <f>$D$71*HLOOKUP(L$86,'0 Úvod'!$D$78:$N$80,2,TRUE)</f>
        <v>0.02</v>
      </c>
      <c r="M88" s="903">
        <f>$D$71*HLOOKUP(M$86,'0 Úvod'!$D$78:$N$80,2,TRUE)</f>
        <v>0.02</v>
      </c>
      <c r="N88" s="903">
        <f>$D$71*HLOOKUP(N$86,'0 Úvod'!$D$78:$N$80,2,TRUE)</f>
        <v>0.02</v>
      </c>
      <c r="O88" s="903">
        <f>$D$71*HLOOKUP(O$86,'0 Úvod'!$D$78:$N$80,2,TRUE)</f>
        <v>0.02</v>
      </c>
      <c r="P88" s="903">
        <f>$D$71*HLOOKUP(P$86,'0 Úvod'!$D$78:$N$80,2,TRUE)</f>
        <v>0.02</v>
      </c>
      <c r="Q88" s="903">
        <f>$D$71*HLOOKUP(Q$86,'0 Úvod'!$D$78:$N$80,2,TRUE)</f>
        <v>0.02</v>
      </c>
      <c r="R88" s="903">
        <f>$D$71*HLOOKUP(R$86,'0 Úvod'!$D$78:$N$80,2,TRUE)</f>
        <v>0.02</v>
      </c>
      <c r="S88" s="903">
        <f>$D$71*HLOOKUP(S$86,'0 Úvod'!$D$78:$N$80,2,TRUE)</f>
        <v>0.02</v>
      </c>
      <c r="T88" s="903">
        <f>$D$71*HLOOKUP(T$86,'0 Úvod'!$D$78:$N$80,2,TRUE)</f>
        <v>0.02</v>
      </c>
      <c r="U88" s="903">
        <f>$D$71*HLOOKUP(U$86,'0 Úvod'!$D$78:$N$80,2,TRUE)</f>
        <v>0.02</v>
      </c>
      <c r="V88" s="903">
        <f>$D$71*HLOOKUP(V$86,'0 Úvod'!$D$78:$N$80,2,TRUE)</f>
        <v>0.02</v>
      </c>
      <c r="W88" s="903">
        <f>$D$71*HLOOKUP(W$86,'0 Úvod'!$D$78:$N$80,2,TRUE)</f>
        <v>0.02</v>
      </c>
      <c r="X88" s="903">
        <f>$D$71*HLOOKUP(X$86,'0 Úvod'!$D$78:$N$80,2,TRUE)</f>
        <v>0.02</v>
      </c>
      <c r="Y88" s="903">
        <f>$D$71*HLOOKUP(Y$86,'0 Úvod'!$D$78:$N$80,2,TRUE)</f>
        <v>0.02</v>
      </c>
      <c r="Z88" s="903">
        <f>$D$71*HLOOKUP(Z$86,'0 Úvod'!$D$78:$N$80,2,TRUE)</f>
        <v>0.02</v>
      </c>
      <c r="AA88" s="903">
        <f>$D$71*HLOOKUP(AA$86,'0 Úvod'!$D$78:$N$80,2,TRUE)</f>
        <v>0.02</v>
      </c>
      <c r="AB88" s="903">
        <f>$D$71*HLOOKUP(AB$86,'0 Úvod'!$D$78:$N$80,2,TRUE)</f>
        <v>0.02</v>
      </c>
      <c r="AC88" s="904">
        <f>$D$71*HLOOKUP(AC$86,'0 Úvod'!$D$78:$N$80,2,TRUE)</f>
        <v>0.02</v>
      </c>
    </row>
    <row r="89" spans="2:29" ht="12">
      <c r="B89" s="426">
        <f aca="true" t="shared" si="53" ref="B89:C101">B72</f>
        <v>13167</v>
      </c>
      <c r="C89" s="427" t="str">
        <f t="shared" si="53"/>
        <v>Dozorčí provozu</v>
      </c>
      <c r="D89" s="428"/>
      <c r="E89" s="905">
        <f>AC72*(1+E$88)</f>
        <v>1289707.4932913878</v>
      </c>
      <c r="F89" s="906">
        <f>E89*(1+F$88)</f>
        <v>1315501.6431572156</v>
      </c>
      <c r="G89" s="906">
        <f aca="true" t="shared" si="54" ref="G89:AC89">F89*(1+G$88)</f>
        <v>1341811.6760203599</v>
      </c>
      <c r="H89" s="906">
        <f t="shared" si="54"/>
        <v>1368647.909540767</v>
      </c>
      <c r="I89" s="906">
        <f t="shared" si="54"/>
        <v>1396020.8677315824</v>
      </c>
      <c r="J89" s="906">
        <f t="shared" si="54"/>
        <v>1423941.285086214</v>
      </c>
      <c r="K89" s="906">
        <f t="shared" si="54"/>
        <v>1452420.1107879383</v>
      </c>
      <c r="L89" s="906">
        <f t="shared" si="54"/>
        <v>1481468.5130036972</v>
      </c>
      <c r="M89" s="906">
        <f t="shared" si="54"/>
        <v>1511097.8832637712</v>
      </c>
      <c r="N89" s="906">
        <f t="shared" si="54"/>
        <v>1541319.8409290467</v>
      </c>
      <c r="O89" s="906">
        <f t="shared" si="54"/>
        <v>1572146.2377476278</v>
      </c>
      <c r="P89" s="906">
        <f t="shared" si="54"/>
        <v>1603589.1625025803</v>
      </c>
      <c r="Q89" s="906">
        <f t="shared" si="54"/>
        <v>1635660.9457526319</v>
      </c>
      <c r="R89" s="906">
        <f t="shared" si="54"/>
        <v>1668374.1646676846</v>
      </c>
      <c r="S89" s="906">
        <f t="shared" si="54"/>
        <v>1701741.6479610384</v>
      </c>
      <c r="T89" s="906">
        <f t="shared" si="54"/>
        <v>1735776.4809202591</v>
      </c>
      <c r="U89" s="906">
        <f t="shared" si="54"/>
        <v>1770492.0105386644</v>
      </c>
      <c r="V89" s="906">
        <f t="shared" si="54"/>
        <v>1805901.8507494377</v>
      </c>
      <c r="W89" s="906">
        <f t="shared" si="54"/>
        <v>1842019.8877644264</v>
      </c>
      <c r="X89" s="906">
        <f t="shared" si="54"/>
        <v>1878860.285519715</v>
      </c>
      <c r="Y89" s="906">
        <f t="shared" si="54"/>
        <v>1916437.4912301092</v>
      </c>
      <c r="Z89" s="906">
        <f t="shared" si="54"/>
        <v>1954766.2410547114</v>
      </c>
      <c r="AA89" s="906">
        <f t="shared" si="54"/>
        <v>1993861.5658758057</v>
      </c>
      <c r="AB89" s="906">
        <f t="shared" si="54"/>
        <v>2033738.7971933219</v>
      </c>
      <c r="AC89" s="907">
        <f t="shared" si="54"/>
        <v>2074413.5731371883</v>
      </c>
    </row>
    <row r="90" spans="2:29" ht="12">
      <c r="B90" s="426">
        <f t="shared" si="53"/>
        <v>31606</v>
      </c>
      <c r="C90" s="429" t="str">
        <f t="shared" si="53"/>
        <v>Výpravčí</v>
      </c>
      <c r="D90" s="428"/>
      <c r="E90" s="908">
        <f aca="true" t="shared" si="55" ref="E90:E101">AC73*(1+E$88)</f>
        <v>864347.9100645122</v>
      </c>
      <c r="F90" s="909">
        <f aca="true" t="shared" si="56" ref="F90:F101">E90*(1+F$88)</f>
        <v>881634.8682658024</v>
      </c>
      <c r="G90" s="909">
        <f aca="true" t="shared" si="57" ref="G90:AC90">F90*(1+G$88)</f>
        <v>899267.5656311185</v>
      </c>
      <c r="H90" s="909">
        <f t="shared" si="57"/>
        <v>917252.9169437409</v>
      </c>
      <c r="I90" s="909">
        <f t="shared" si="57"/>
        <v>935597.9752826157</v>
      </c>
      <c r="J90" s="909">
        <f t="shared" si="57"/>
        <v>954309.9347882681</v>
      </c>
      <c r="K90" s="909">
        <f t="shared" si="57"/>
        <v>973396.1334840334</v>
      </c>
      <c r="L90" s="909">
        <f t="shared" si="57"/>
        <v>992864.0561537141</v>
      </c>
      <c r="M90" s="909">
        <f t="shared" si="57"/>
        <v>1012721.3372767884</v>
      </c>
      <c r="N90" s="909">
        <f t="shared" si="57"/>
        <v>1032975.7640223242</v>
      </c>
      <c r="O90" s="909">
        <f t="shared" si="57"/>
        <v>1053635.2793027707</v>
      </c>
      <c r="P90" s="909">
        <f t="shared" si="57"/>
        <v>1074707.9848888263</v>
      </c>
      <c r="Q90" s="909">
        <f t="shared" si="57"/>
        <v>1096202.144586603</v>
      </c>
      <c r="R90" s="909">
        <f t="shared" si="57"/>
        <v>1118126.187478335</v>
      </c>
      <c r="S90" s="909">
        <f t="shared" si="57"/>
        <v>1140488.7112279017</v>
      </c>
      <c r="T90" s="909">
        <f t="shared" si="57"/>
        <v>1163298.48545246</v>
      </c>
      <c r="U90" s="909">
        <f t="shared" si="57"/>
        <v>1186564.455161509</v>
      </c>
      <c r="V90" s="909">
        <f t="shared" si="57"/>
        <v>1210295.7442647393</v>
      </c>
      <c r="W90" s="909">
        <f t="shared" si="57"/>
        <v>1234501.6591500342</v>
      </c>
      <c r="X90" s="909">
        <f t="shared" si="57"/>
        <v>1259191.692333035</v>
      </c>
      <c r="Y90" s="909">
        <f t="shared" si="57"/>
        <v>1284375.5261796957</v>
      </c>
      <c r="Z90" s="909">
        <f t="shared" si="57"/>
        <v>1310063.0367032897</v>
      </c>
      <c r="AA90" s="909">
        <f t="shared" si="57"/>
        <v>1336264.2974373556</v>
      </c>
      <c r="AB90" s="909">
        <f t="shared" si="57"/>
        <v>1362989.5833861027</v>
      </c>
      <c r="AC90" s="910">
        <f t="shared" si="57"/>
        <v>1390249.3750538249</v>
      </c>
    </row>
    <row r="91" spans="2:29" ht="12">
      <c r="B91" s="426">
        <f t="shared" si="53"/>
        <v>31608</v>
      </c>
      <c r="C91" s="429" t="str">
        <f t="shared" si="53"/>
        <v>Dozorčí provozu - vedoucí směny</v>
      </c>
      <c r="D91" s="428"/>
      <c r="E91" s="908">
        <f t="shared" si="55"/>
        <v>989085.7817540453</v>
      </c>
      <c r="F91" s="909">
        <f t="shared" si="56"/>
        <v>1008867.4973891262</v>
      </c>
      <c r="G91" s="909">
        <f aca="true" t="shared" si="58" ref="G91:AC91">F91*(1+G$88)</f>
        <v>1029044.8473369088</v>
      </c>
      <c r="H91" s="909">
        <f t="shared" si="58"/>
        <v>1049625.744283647</v>
      </c>
      <c r="I91" s="909">
        <f t="shared" si="58"/>
        <v>1070618.25916932</v>
      </c>
      <c r="J91" s="909">
        <f t="shared" si="58"/>
        <v>1092030.6243527066</v>
      </c>
      <c r="K91" s="909">
        <f t="shared" si="58"/>
        <v>1113871.2368397608</v>
      </c>
      <c r="L91" s="909">
        <f t="shared" si="58"/>
        <v>1136148.661576556</v>
      </c>
      <c r="M91" s="909">
        <f t="shared" si="58"/>
        <v>1158871.6348080873</v>
      </c>
      <c r="N91" s="909">
        <f t="shared" si="58"/>
        <v>1182049.067504249</v>
      </c>
      <c r="O91" s="909">
        <f t="shared" si="58"/>
        <v>1205690.048854334</v>
      </c>
      <c r="P91" s="909">
        <f t="shared" si="58"/>
        <v>1229803.8498314207</v>
      </c>
      <c r="Q91" s="909">
        <f t="shared" si="58"/>
        <v>1254399.9268280491</v>
      </c>
      <c r="R91" s="909">
        <f t="shared" si="58"/>
        <v>1279487.92536461</v>
      </c>
      <c r="S91" s="909">
        <f t="shared" si="58"/>
        <v>1305077.6838719023</v>
      </c>
      <c r="T91" s="909">
        <f t="shared" si="58"/>
        <v>1331179.2375493404</v>
      </c>
      <c r="U91" s="909">
        <f t="shared" si="58"/>
        <v>1357802.8223003272</v>
      </c>
      <c r="V91" s="909">
        <f t="shared" si="58"/>
        <v>1384958.8787463338</v>
      </c>
      <c r="W91" s="909">
        <f t="shared" si="58"/>
        <v>1412658.0563212605</v>
      </c>
      <c r="X91" s="909">
        <f t="shared" si="58"/>
        <v>1440911.2174476858</v>
      </c>
      <c r="Y91" s="909">
        <f t="shared" si="58"/>
        <v>1469729.4417966395</v>
      </c>
      <c r="Z91" s="909">
        <f t="shared" si="58"/>
        <v>1499124.0306325722</v>
      </c>
      <c r="AA91" s="909">
        <f t="shared" si="58"/>
        <v>1529106.5112452237</v>
      </c>
      <c r="AB91" s="909">
        <f t="shared" si="58"/>
        <v>1559688.6414701282</v>
      </c>
      <c r="AC91" s="910">
        <f t="shared" si="58"/>
        <v>1590882.414299531</v>
      </c>
    </row>
    <row r="92" spans="2:29" ht="12">
      <c r="B92" s="426">
        <f t="shared" si="53"/>
        <v>41333</v>
      </c>
      <c r="C92" s="429" t="str">
        <f t="shared" si="53"/>
        <v>Operátor železniční dopravy</v>
      </c>
      <c r="D92" s="428"/>
      <c r="E92" s="908">
        <f t="shared" si="55"/>
        <v>618226.4531175259</v>
      </c>
      <c r="F92" s="909">
        <f t="shared" si="56"/>
        <v>630590.9821798764</v>
      </c>
      <c r="G92" s="909">
        <f aca="true" t="shared" si="59" ref="G92:AC92">F92*(1+G$88)</f>
        <v>643202.801823474</v>
      </c>
      <c r="H92" s="909">
        <f t="shared" si="59"/>
        <v>656066.8578599435</v>
      </c>
      <c r="I92" s="909">
        <f t="shared" si="59"/>
        <v>669188.1950171425</v>
      </c>
      <c r="J92" s="909">
        <f t="shared" si="59"/>
        <v>682571.9589174853</v>
      </c>
      <c r="K92" s="909">
        <f t="shared" si="59"/>
        <v>696223.398095835</v>
      </c>
      <c r="L92" s="909">
        <f t="shared" si="59"/>
        <v>710147.8660577517</v>
      </c>
      <c r="M92" s="909">
        <f t="shared" si="59"/>
        <v>724350.8233789067</v>
      </c>
      <c r="N92" s="909">
        <f t="shared" si="59"/>
        <v>738837.8398464848</v>
      </c>
      <c r="O92" s="909">
        <f t="shared" si="59"/>
        <v>753614.5966434146</v>
      </c>
      <c r="P92" s="909">
        <f t="shared" si="59"/>
        <v>768686.8885762829</v>
      </c>
      <c r="Q92" s="909">
        <f t="shared" si="59"/>
        <v>784060.6263478085</v>
      </c>
      <c r="R92" s="909">
        <f t="shared" si="59"/>
        <v>799741.8388747647</v>
      </c>
      <c r="S92" s="909">
        <f t="shared" si="59"/>
        <v>815736.6756522601</v>
      </c>
      <c r="T92" s="909">
        <f t="shared" si="59"/>
        <v>832051.4091653053</v>
      </c>
      <c r="U92" s="909">
        <f t="shared" si="59"/>
        <v>848692.4373486114</v>
      </c>
      <c r="V92" s="909">
        <f t="shared" si="59"/>
        <v>865666.2860955837</v>
      </c>
      <c r="W92" s="909">
        <f t="shared" si="59"/>
        <v>882979.6118174954</v>
      </c>
      <c r="X92" s="909">
        <f t="shared" si="59"/>
        <v>900639.2040538454</v>
      </c>
      <c r="Y92" s="909">
        <f t="shared" si="59"/>
        <v>918651.9881349223</v>
      </c>
      <c r="Z92" s="909">
        <f t="shared" si="59"/>
        <v>937025.0278976208</v>
      </c>
      <c r="AA92" s="909">
        <f t="shared" si="59"/>
        <v>955765.5284555733</v>
      </c>
      <c r="AB92" s="909">
        <f t="shared" si="59"/>
        <v>974880.8390246847</v>
      </c>
      <c r="AC92" s="910">
        <f t="shared" si="59"/>
        <v>994378.4558051785</v>
      </c>
    </row>
    <row r="93" spans="2:29" ht="12">
      <c r="B93" s="426">
        <f t="shared" si="53"/>
        <v>83135</v>
      </c>
      <c r="C93" s="429" t="str">
        <f t="shared" si="53"/>
        <v>Signalista</v>
      </c>
      <c r="D93" s="428"/>
      <c r="E93" s="908">
        <f t="shared" si="55"/>
        <v>684454.7503398508</v>
      </c>
      <c r="F93" s="909">
        <f t="shared" si="56"/>
        <v>698143.8453466478</v>
      </c>
      <c r="G93" s="909">
        <f aca="true" t="shared" si="60" ref="G93:AC93">F93*(1+G$88)</f>
        <v>712106.7222535807</v>
      </c>
      <c r="H93" s="909">
        <f t="shared" si="60"/>
        <v>726348.8566986523</v>
      </c>
      <c r="I93" s="909">
        <f t="shared" si="60"/>
        <v>740875.8338326253</v>
      </c>
      <c r="J93" s="909">
        <f t="shared" si="60"/>
        <v>755693.3505092778</v>
      </c>
      <c r="K93" s="909">
        <f t="shared" si="60"/>
        <v>770807.2175194634</v>
      </c>
      <c r="L93" s="909">
        <f t="shared" si="60"/>
        <v>786223.3618698526</v>
      </c>
      <c r="M93" s="909">
        <f t="shared" si="60"/>
        <v>801947.8291072497</v>
      </c>
      <c r="N93" s="909">
        <f t="shared" si="60"/>
        <v>817986.7856893948</v>
      </c>
      <c r="O93" s="909">
        <f t="shared" si="60"/>
        <v>834346.5214031828</v>
      </c>
      <c r="P93" s="909">
        <f t="shared" si="60"/>
        <v>851033.4518312464</v>
      </c>
      <c r="Q93" s="909">
        <f t="shared" si="60"/>
        <v>868054.1208678713</v>
      </c>
      <c r="R93" s="909">
        <f t="shared" si="60"/>
        <v>885415.2032852288</v>
      </c>
      <c r="S93" s="909">
        <f t="shared" si="60"/>
        <v>903123.5073509334</v>
      </c>
      <c r="T93" s="909">
        <f t="shared" si="60"/>
        <v>921185.9774979521</v>
      </c>
      <c r="U93" s="909">
        <f t="shared" si="60"/>
        <v>939609.6970479111</v>
      </c>
      <c r="V93" s="909">
        <f t="shared" si="60"/>
        <v>958401.8909888694</v>
      </c>
      <c r="W93" s="909">
        <f t="shared" si="60"/>
        <v>977569.9288086467</v>
      </c>
      <c r="X93" s="909">
        <f t="shared" si="60"/>
        <v>997121.3273848197</v>
      </c>
      <c r="Y93" s="909">
        <f t="shared" si="60"/>
        <v>1017063.7539325162</v>
      </c>
      <c r="Z93" s="909">
        <f t="shared" si="60"/>
        <v>1037405.0290111665</v>
      </c>
      <c r="AA93" s="909">
        <f t="shared" si="60"/>
        <v>1058153.1295913898</v>
      </c>
      <c r="AB93" s="909">
        <f t="shared" si="60"/>
        <v>1079316.1921832175</v>
      </c>
      <c r="AC93" s="910">
        <f t="shared" si="60"/>
        <v>1100902.5160268818</v>
      </c>
    </row>
    <row r="94" spans="2:29" ht="12">
      <c r="B94" s="426">
        <f t="shared" si="53"/>
        <v>83137</v>
      </c>
      <c r="C94" s="429" t="str">
        <f t="shared" si="53"/>
        <v>Výhybkář</v>
      </c>
      <c r="D94" s="428"/>
      <c r="E94" s="908">
        <f t="shared" si="55"/>
        <v>568267.2730825047</v>
      </c>
      <c r="F94" s="909">
        <f t="shared" si="56"/>
        <v>579632.6185441548</v>
      </c>
      <c r="G94" s="909">
        <f aca="true" t="shared" si="61" ref="G94:AC94">F94*(1+G$88)</f>
        <v>591225.270915038</v>
      </c>
      <c r="H94" s="909">
        <f t="shared" si="61"/>
        <v>603049.7763333387</v>
      </c>
      <c r="I94" s="909">
        <f t="shared" si="61"/>
        <v>615110.7718600055</v>
      </c>
      <c r="J94" s="909">
        <f t="shared" si="61"/>
        <v>627412.9872972056</v>
      </c>
      <c r="K94" s="909">
        <f t="shared" si="61"/>
        <v>639961.2470431498</v>
      </c>
      <c r="L94" s="909">
        <f t="shared" si="61"/>
        <v>652760.4719840128</v>
      </c>
      <c r="M94" s="909">
        <f t="shared" si="61"/>
        <v>665815.681423693</v>
      </c>
      <c r="N94" s="909">
        <f t="shared" si="61"/>
        <v>679131.9950521669</v>
      </c>
      <c r="O94" s="909">
        <f t="shared" si="61"/>
        <v>692714.6349532102</v>
      </c>
      <c r="P94" s="909">
        <f t="shared" si="61"/>
        <v>706568.9276522745</v>
      </c>
      <c r="Q94" s="909">
        <f t="shared" si="61"/>
        <v>720700.3062053199</v>
      </c>
      <c r="R94" s="909">
        <f t="shared" si="61"/>
        <v>735114.3123294264</v>
      </c>
      <c r="S94" s="909">
        <f t="shared" si="61"/>
        <v>749816.598576015</v>
      </c>
      <c r="T94" s="909">
        <f t="shared" si="61"/>
        <v>764812.9305475353</v>
      </c>
      <c r="U94" s="909">
        <f t="shared" si="61"/>
        <v>780109.189158486</v>
      </c>
      <c r="V94" s="909">
        <f t="shared" si="61"/>
        <v>795711.3729416557</v>
      </c>
      <c r="W94" s="909">
        <f t="shared" si="61"/>
        <v>811625.6004004888</v>
      </c>
      <c r="X94" s="909">
        <f t="shared" si="61"/>
        <v>827858.1124084987</v>
      </c>
      <c r="Y94" s="909">
        <f t="shared" si="61"/>
        <v>844415.2746566687</v>
      </c>
      <c r="Z94" s="909">
        <f t="shared" si="61"/>
        <v>861303.580149802</v>
      </c>
      <c r="AA94" s="909">
        <f t="shared" si="61"/>
        <v>878529.6517527981</v>
      </c>
      <c r="AB94" s="909">
        <f t="shared" si="61"/>
        <v>896100.2447878541</v>
      </c>
      <c r="AC94" s="910">
        <f t="shared" si="61"/>
        <v>914022.2496836112</v>
      </c>
    </row>
    <row r="95" spans="2:29" ht="12">
      <c r="B95" s="426">
        <f t="shared" si="53"/>
        <v>83141</v>
      </c>
      <c r="C95" s="429" t="str">
        <f t="shared" si="53"/>
        <v>Staniční dozorce</v>
      </c>
      <c r="D95" s="428"/>
      <c r="E95" s="908">
        <f t="shared" si="55"/>
        <v>648102.2341365538</v>
      </c>
      <c r="F95" s="909">
        <f t="shared" si="56"/>
        <v>661064.2788192849</v>
      </c>
      <c r="G95" s="909">
        <f aca="true" t="shared" si="62" ref="G95:AC95">F95*(1+G$88)</f>
        <v>674285.5643956705</v>
      </c>
      <c r="H95" s="909">
        <f t="shared" si="62"/>
        <v>687771.2756835839</v>
      </c>
      <c r="I95" s="909">
        <f t="shared" si="62"/>
        <v>701526.7011972556</v>
      </c>
      <c r="J95" s="909">
        <f t="shared" si="62"/>
        <v>715557.2352212007</v>
      </c>
      <c r="K95" s="909">
        <f t="shared" si="62"/>
        <v>729868.3799256248</v>
      </c>
      <c r="L95" s="909">
        <f t="shared" si="62"/>
        <v>744465.7475241374</v>
      </c>
      <c r="M95" s="909">
        <f t="shared" si="62"/>
        <v>759355.0624746202</v>
      </c>
      <c r="N95" s="909">
        <f t="shared" si="62"/>
        <v>774542.1637241126</v>
      </c>
      <c r="O95" s="909">
        <f t="shared" si="62"/>
        <v>790033.0069985949</v>
      </c>
      <c r="P95" s="909">
        <f t="shared" si="62"/>
        <v>805833.6671385667</v>
      </c>
      <c r="Q95" s="909">
        <f t="shared" si="62"/>
        <v>821950.3404813381</v>
      </c>
      <c r="R95" s="909">
        <f t="shared" si="62"/>
        <v>838389.3472909649</v>
      </c>
      <c r="S95" s="909">
        <f t="shared" si="62"/>
        <v>855157.1342367842</v>
      </c>
      <c r="T95" s="909">
        <f t="shared" si="62"/>
        <v>872260.2769215199</v>
      </c>
      <c r="U95" s="909">
        <f t="shared" si="62"/>
        <v>889705.4824599503</v>
      </c>
      <c r="V95" s="909">
        <f t="shared" si="62"/>
        <v>907499.5921091493</v>
      </c>
      <c r="W95" s="909">
        <f t="shared" si="62"/>
        <v>925649.5839513324</v>
      </c>
      <c r="X95" s="909">
        <f t="shared" si="62"/>
        <v>944162.575630359</v>
      </c>
      <c r="Y95" s="909">
        <f t="shared" si="62"/>
        <v>963045.8271429662</v>
      </c>
      <c r="Z95" s="909">
        <f t="shared" si="62"/>
        <v>982306.7436858256</v>
      </c>
      <c r="AA95" s="909">
        <f t="shared" si="62"/>
        <v>1001952.8785595421</v>
      </c>
      <c r="AB95" s="909">
        <f t="shared" si="62"/>
        <v>1021991.936130733</v>
      </c>
      <c r="AC95" s="910">
        <f t="shared" si="62"/>
        <v>1042431.7748533477</v>
      </c>
    </row>
    <row r="96" spans="2:29" ht="12">
      <c r="B96" s="426">
        <f t="shared" si="53"/>
        <v>83142</v>
      </c>
      <c r="C96" s="429" t="str">
        <f t="shared" si="53"/>
        <v>Dozorce výhybek</v>
      </c>
      <c r="D96" s="428"/>
      <c r="E96" s="908">
        <f t="shared" si="55"/>
        <v>604220.5132815441</v>
      </c>
      <c r="F96" s="909">
        <f t="shared" si="56"/>
        <v>616304.923547175</v>
      </c>
      <c r="G96" s="909">
        <f aca="true" t="shared" si="63" ref="G96:AC96">F96*(1+G$88)</f>
        <v>628631.0220181185</v>
      </c>
      <c r="H96" s="909">
        <f t="shared" si="63"/>
        <v>641203.6424584809</v>
      </c>
      <c r="I96" s="909">
        <f t="shared" si="63"/>
        <v>654027.7153076505</v>
      </c>
      <c r="J96" s="909">
        <f t="shared" si="63"/>
        <v>667108.2696138035</v>
      </c>
      <c r="K96" s="909">
        <f t="shared" si="63"/>
        <v>680450.4350060796</v>
      </c>
      <c r="L96" s="909">
        <f t="shared" si="63"/>
        <v>694059.4437062013</v>
      </c>
      <c r="M96" s="909">
        <f t="shared" si="63"/>
        <v>707940.6325803254</v>
      </c>
      <c r="N96" s="909">
        <f t="shared" si="63"/>
        <v>722099.4452319319</v>
      </c>
      <c r="O96" s="909">
        <f t="shared" si="63"/>
        <v>736541.4341365705</v>
      </c>
      <c r="P96" s="909">
        <f t="shared" si="63"/>
        <v>751272.2628193019</v>
      </c>
      <c r="Q96" s="909">
        <f t="shared" si="63"/>
        <v>766297.708075688</v>
      </c>
      <c r="R96" s="909">
        <f t="shared" si="63"/>
        <v>781623.6622372018</v>
      </c>
      <c r="S96" s="909">
        <f t="shared" si="63"/>
        <v>797256.1354819458</v>
      </c>
      <c r="T96" s="909">
        <f t="shared" si="63"/>
        <v>813201.2581915847</v>
      </c>
      <c r="U96" s="909">
        <f t="shared" si="63"/>
        <v>829465.2833554164</v>
      </c>
      <c r="V96" s="909">
        <f t="shared" si="63"/>
        <v>846054.5890225248</v>
      </c>
      <c r="W96" s="909">
        <f t="shared" si="63"/>
        <v>862975.6808029753</v>
      </c>
      <c r="X96" s="909">
        <f t="shared" si="63"/>
        <v>880235.1944190349</v>
      </c>
      <c r="Y96" s="909">
        <f t="shared" si="63"/>
        <v>897839.8983074155</v>
      </c>
      <c r="Z96" s="909">
        <f t="shared" si="63"/>
        <v>915796.6962735639</v>
      </c>
      <c r="AA96" s="909">
        <f t="shared" si="63"/>
        <v>934112.6301990352</v>
      </c>
      <c r="AB96" s="909">
        <f t="shared" si="63"/>
        <v>952794.8828030159</v>
      </c>
      <c r="AC96" s="910">
        <f t="shared" si="63"/>
        <v>971850.7804590762</v>
      </c>
    </row>
    <row r="97" spans="2:29" ht="12">
      <c r="B97" s="426">
        <f t="shared" si="53"/>
        <v>83143</v>
      </c>
      <c r="C97" s="429" t="str">
        <f t="shared" si="53"/>
        <v>Závorář</v>
      </c>
      <c r="D97" s="428"/>
      <c r="E97" s="908">
        <f t="shared" si="55"/>
        <v>531706.8389599397</v>
      </c>
      <c r="F97" s="909">
        <f t="shared" si="56"/>
        <v>542340.9757391384</v>
      </c>
      <c r="G97" s="909">
        <f aca="true" t="shared" si="64" ref="G97:AC97">F97*(1+G$88)</f>
        <v>553187.7952539212</v>
      </c>
      <c r="H97" s="909">
        <f t="shared" si="64"/>
        <v>564251.5511589997</v>
      </c>
      <c r="I97" s="909">
        <f t="shared" si="64"/>
        <v>575536.5821821797</v>
      </c>
      <c r="J97" s="909">
        <f t="shared" si="64"/>
        <v>587047.3138258233</v>
      </c>
      <c r="K97" s="909">
        <f t="shared" si="64"/>
        <v>598788.2601023397</v>
      </c>
      <c r="L97" s="909">
        <f t="shared" si="64"/>
        <v>610764.0253043865</v>
      </c>
      <c r="M97" s="909">
        <f t="shared" si="64"/>
        <v>622979.3058104742</v>
      </c>
      <c r="N97" s="909">
        <f t="shared" si="64"/>
        <v>635438.8919266837</v>
      </c>
      <c r="O97" s="909">
        <f t="shared" si="64"/>
        <v>648147.6697652173</v>
      </c>
      <c r="P97" s="909">
        <f t="shared" si="64"/>
        <v>661110.6231605217</v>
      </c>
      <c r="Q97" s="909">
        <f t="shared" si="64"/>
        <v>674332.8356237322</v>
      </c>
      <c r="R97" s="909">
        <f t="shared" si="64"/>
        <v>687819.4923362068</v>
      </c>
      <c r="S97" s="909">
        <f t="shared" si="64"/>
        <v>701575.882182931</v>
      </c>
      <c r="T97" s="909">
        <f t="shared" si="64"/>
        <v>715607.3998265896</v>
      </c>
      <c r="U97" s="909">
        <f t="shared" si="64"/>
        <v>729919.5478231214</v>
      </c>
      <c r="V97" s="909">
        <f t="shared" si="64"/>
        <v>744517.9387795839</v>
      </c>
      <c r="W97" s="909">
        <f t="shared" si="64"/>
        <v>759408.2975551756</v>
      </c>
      <c r="X97" s="909">
        <f t="shared" si="64"/>
        <v>774596.4635062792</v>
      </c>
      <c r="Y97" s="909">
        <f t="shared" si="64"/>
        <v>790088.3927764047</v>
      </c>
      <c r="Z97" s="909">
        <f t="shared" si="64"/>
        <v>805890.1606319329</v>
      </c>
      <c r="AA97" s="909">
        <f t="shared" si="64"/>
        <v>822007.9638445716</v>
      </c>
      <c r="AB97" s="909">
        <f t="shared" si="64"/>
        <v>838448.1231214631</v>
      </c>
      <c r="AC97" s="910">
        <f t="shared" si="64"/>
        <v>855217.0855838924</v>
      </c>
    </row>
    <row r="98" spans="2:29" ht="12">
      <c r="B98" s="426">
        <f t="shared" si="53"/>
        <v>83144</v>
      </c>
      <c r="C98" s="429" t="str">
        <f t="shared" si="53"/>
        <v>Závorář s prodejem jízdenek</v>
      </c>
      <c r="D98" s="428"/>
      <c r="E98" s="908">
        <f t="shared" si="55"/>
        <v>574721.9284877361</v>
      </c>
      <c r="F98" s="909">
        <f t="shared" si="56"/>
        <v>586216.3670574909</v>
      </c>
      <c r="G98" s="909">
        <f aca="true" t="shared" si="65" ref="G98:AC98">F98*(1+G$88)</f>
        <v>597940.6943986407</v>
      </c>
      <c r="H98" s="909">
        <f t="shared" si="65"/>
        <v>609899.5082866135</v>
      </c>
      <c r="I98" s="909">
        <f t="shared" si="65"/>
        <v>622097.4984523458</v>
      </c>
      <c r="J98" s="909">
        <f t="shared" si="65"/>
        <v>634539.4484213928</v>
      </c>
      <c r="K98" s="909">
        <f t="shared" si="65"/>
        <v>647230.2373898207</v>
      </c>
      <c r="L98" s="909">
        <f t="shared" si="65"/>
        <v>660174.8421376172</v>
      </c>
      <c r="M98" s="909">
        <f t="shared" si="65"/>
        <v>673378.3389803695</v>
      </c>
      <c r="N98" s="909">
        <f t="shared" si="65"/>
        <v>686845.905759977</v>
      </c>
      <c r="O98" s="909">
        <f t="shared" si="65"/>
        <v>700582.8238751765</v>
      </c>
      <c r="P98" s="909">
        <f t="shared" si="65"/>
        <v>714594.4803526801</v>
      </c>
      <c r="Q98" s="909">
        <f t="shared" si="65"/>
        <v>728886.3699597337</v>
      </c>
      <c r="R98" s="909">
        <f t="shared" si="65"/>
        <v>743464.0973589284</v>
      </c>
      <c r="S98" s="909">
        <f t="shared" si="65"/>
        <v>758333.379306107</v>
      </c>
      <c r="T98" s="909">
        <f t="shared" si="65"/>
        <v>773500.0468922291</v>
      </c>
      <c r="U98" s="909">
        <f t="shared" si="65"/>
        <v>788970.0478300737</v>
      </c>
      <c r="V98" s="909">
        <f t="shared" si="65"/>
        <v>804749.4487866752</v>
      </c>
      <c r="W98" s="909">
        <f t="shared" si="65"/>
        <v>820844.4377624088</v>
      </c>
      <c r="X98" s="909">
        <f t="shared" si="65"/>
        <v>837261.3265176569</v>
      </c>
      <c r="Y98" s="909">
        <f t="shared" si="65"/>
        <v>854006.5530480101</v>
      </c>
      <c r="Z98" s="909">
        <f t="shared" si="65"/>
        <v>871086.6841089703</v>
      </c>
      <c r="AA98" s="909">
        <f t="shared" si="65"/>
        <v>888508.4177911498</v>
      </c>
      <c r="AB98" s="909">
        <f t="shared" si="65"/>
        <v>906278.5861469728</v>
      </c>
      <c r="AC98" s="910">
        <f t="shared" si="65"/>
        <v>924404.1578699123</v>
      </c>
    </row>
    <row r="99" spans="2:29" ht="12">
      <c r="B99" s="426">
        <f t="shared" si="53"/>
        <v>83145</v>
      </c>
      <c r="C99" s="429" t="str">
        <f t="shared" si="53"/>
        <v>Hradlář - hláskař</v>
      </c>
      <c r="D99" s="428"/>
      <c r="E99" s="908">
        <f t="shared" si="55"/>
        <v>562156.694233937</v>
      </c>
      <c r="F99" s="909">
        <f t="shared" si="56"/>
        <v>573399.8281186157</v>
      </c>
      <c r="G99" s="909">
        <f aca="true" t="shared" si="66" ref="G99:AC99">F99*(1+G$88)</f>
        <v>584867.824680988</v>
      </c>
      <c r="H99" s="909">
        <f t="shared" si="66"/>
        <v>596565.1811746077</v>
      </c>
      <c r="I99" s="909">
        <f t="shared" si="66"/>
        <v>608496.4847980998</v>
      </c>
      <c r="J99" s="909">
        <f t="shared" si="66"/>
        <v>620666.4144940618</v>
      </c>
      <c r="K99" s="909">
        <f t="shared" si="66"/>
        <v>633079.7427839431</v>
      </c>
      <c r="L99" s="909">
        <f t="shared" si="66"/>
        <v>645741.3376396219</v>
      </c>
      <c r="M99" s="909">
        <f t="shared" si="66"/>
        <v>658656.1643924144</v>
      </c>
      <c r="N99" s="909">
        <f t="shared" si="66"/>
        <v>671829.2876802627</v>
      </c>
      <c r="O99" s="909">
        <f t="shared" si="66"/>
        <v>685265.8734338679</v>
      </c>
      <c r="P99" s="909">
        <f t="shared" si="66"/>
        <v>698971.1909025453</v>
      </c>
      <c r="Q99" s="909">
        <f t="shared" si="66"/>
        <v>712950.6147205962</v>
      </c>
      <c r="R99" s="909">
        <f t="shared" si="66"/>
        <v>727209.6270150081</v>
      </c>
      <c r="S99" s="909">
        <f t="shared" si="66"/>
        <v>741753.8195553083</v>
      </c>
      <c r="T99" s="909">
        <f t="shared" si="66"/>
        <v>756588.8959464144</v>
      </c>
      <c r="U99" s="909">
        <f t="shared" si="66"/>
        <v>771720.6738653427</v>
      </c>
      <c r="V99" s="909">
        <f t="shared" si="66"/>
        <v>787155.0873426496</v>
      </c>
      <c r="W99" s="909">
        <f t="shared" si="66"/>
        <v>802898.1890895026</v>
      </c>
      <c r="X99" s="909">
        <f t="shared" si="66"/>
        <v>818956.1528712927</v>
      </c>
      <c r="Y99" s="909">
        <f t="shared" si="66"/>
        <v>835335.2759287185</v>
      </c>
      <c r="Z99" s="909">
        <f t="shared" si="66"/>
        <v>852041.9814472928</v>
      </c>
      <c r="AA99" s="909">
        <f t="shared" si="66"/>
        <v>869082.8210762388</v>
      </c>
      <c r="AB99" s="909">
        <f t="shared" si="66"/>
        <v>886464.4774977636</v>
      </c>
      <c r="AC99" s="910">
        <f t="shared" si="66"/>
        <v>904193.7670477189</v>
      </c>
    </row>
    <row r="100" spans="2:29" ht="12">
      <c r="B100" s="426">
        <f t="shared" si="53"/>
        <v>83146</v>
      </c>
      <c r="C100" s="429" t="str">
        <f t="shared" si="53"/>
        <v>Hradlář - hláskař s prodejem jízdenek</v>
      </c>
      <c r="D100" s="428"/>
      <c r="E100" s="908">
        <f t="shared" si="55"/>
        <v>553276.9430977772</v>
      </c>
      <c r="F100" s="909">
        <f t="shared" si="56"/>
        <v>564342.4819597327</v>
      </c>
      <c r="G100" s="909">
        <f aca="true" t="shared" si="67" ref="G100:AC100">F100*(1+G$88)</f>
        <v>575629.3315989274</v>
      </c>
      <c r="H100" s="909">
        <f t="shared" si="67"/>
        <v>587141.9182309059</v>
      </c>
      <c r="I100" s="909">
        <f t="shared" si="67"/>
        <v>598884.756595524</v>
      </c>
      <c r="J100" s="909">
        <f t="shared" si="67"/>
        <v>610862.4517274345</v>
      </c>
      <c r="K100" s="909">
        <f t="shared" si="67"/>
        <v>623079.7007619832</v>
      </c>
      <c r="L100" s="909">
        <f t="shared" si="67"/>
        <v>635541.2947772228</v>
      </c>
      <c r="M100" s="909">
        <f t="shared" si="67"/>
        <v>648252.1206727673</v>
      </c>
      <c r="N100" s="909">
        <f t="shared" si="67"/>
        <v>661217.1630862226</v>
      </c>
      <c r="O100" s="909">
        <f t="shared" si="67"/>
        <v>674441.506347947</v>
      </c>
      <c r="P100" s="909">
        <f t="shared" si="67"/>
        <v>687930.336474906</v>
      </c>
      <c r="Q100" s="909">
        <f t="shared" si="67"/>
        <v>701688.9432044041</v>
      </c>
      <c r="R100" s="909">
        <f t="shared" si="67"/>
        <v>715722.7220684922</v>
      </c>
      <c r="S100" s="909">
        <f t="shared" si="67"/>
        <v>730037.1765098621</v>
      </c>
      <c r="T100" s="909">
        <f t="shared" si="67"/>
        <v>744637.9200400594</v>
      </c>
      <c r="U100" s="909">
        <f t="shared" si="67"/>
        <v>759530.6784408606</v>
      </c>
      <c r="V100" s="909">
        <f t="shared" si="67"/>
        <v>774721.2920096779</v>
      </c>
      <c r="W100" s="909">
        <f t="shared" si="67"/>
        <v>790215.7178498714</v>
      </c>
      <c r="X100" s="909">
        <f t="shared" si="67"/>
        <v>806020.0322068689</v>
      </c>
      <c r="Y100" s="909">
        <f t="shared" si="67"/>
        <v>822140.4328510063</v>
      </c>
      <c r="Z100" s="909">
        <f t="shared" si="67"/>
        <v>838583.2415080264</v>
      </c>
      <c r="AA100" s="909">
        <f t="shared" si="67"/>
        <v>855354.9063381869</v>
      </c>
      <c r="AB100" s="909">
        <f t="shared" si="67"/>
        <v>872462.0044649506</v>
      </c>
      <c r="AC100" s="910">
        <f t="shared" si="67"/>
        <v>889911.2445542497</v>
      </c>
    </row>
    <row r="101" spans="2:29" ht="12.75" thickBot="1">
      <c r="B101" s="430">
        <f t="shared" si="53"/>
        <v>93398</v>
      </c>
      <c r="C101" s="431" t="str">
        <f t="shared" si="53"/>
        <v>Dělník v dopravě - staniční dělník</v>
      </c>
      <c r="D101" s="432"/>
      <c r="E101" s="911">
        <f t="shared" si="55"/>
        <v>416904.867837183</v>
      </c>
      <c r="F101" s="912">
        <f t="shared" si="56"/>
        <v>425242.96519392665</v>
      </c>
      <c r="G101" s="912">
        <f aca="true" t="shared" si="68" ref="G101:AC101">F101*(1+G$88)</f>
        <v>433747.8244978052</v>
      </c>
      <c r="H101" s="912">
        <f t="shared" si="68"/>
        <v>442422.78098776133</v>
      </c>
      <c r="I101" s="912">
        <f t="shared" si="68"/>
        <v>451271.2366075166</v>
      </c>
      <c r="J101" s="912">
        <f t="shared" si="68"/>
        <v>460296.6613396669</v>
      </c>
      <c r="K101" s="912">
        <f t="shared" si="68"/>
        <v>469502.5945664603</v>
      </c>
      <c r="L101" s="912">
        <f t="shared" si="68"/>
        <v>478892.6464577895</v>
      </c>
      <c r="M101" s="912">
        <f t="shared" si="68"/>
        <v>488470.49938694533</v>
      </c>
      <c r="N101" s="912">
        <f t="shared" si="68"/>
        <v>498239.90937468427</v>
      </c>
      <c r="O101" s="912">
        <f t="shared" si="68"/>
        <v>508204.70756217797</v>
      </c>
      <c r="P101" s="912">
        <f t="shared" si="68"/>
        <v>518368.80171342153</v>
      </c>
      <c r="Q101" s="912">
        <f t="shared" si="68"/>
        <v>528736.17774769</v>
      </c>
      <c r="R101" s="912">
        <f t="shared" si="68"/>
        <v>539310.9013026438</v>
      </c>
      <c r="S101" s="912">
        <f t="shared" si="68"/>
        <v>550097.1193286967</v>
      </c>
      <c r="T101" s="912">
        <f t="shared" si="68"/>
        <v>561099.0617152707</v>
      </c>
      <c r="U101" s="912">
        <f t="shared" si="68"/>
        <v>572321.0429495762</v>
      </c>
      <c r="V101" s="912">
        <f t="shared" si="68"/>
        <v>583767.4638085677</v>
      </c>
      <c r="W101" s="912">
        <f t="shared" si="68"/>
        <v>595442.8130847391</v>
      </c>
      <c r="X101" s="912">
        <f t="shared" si="68"/>
        <v>607351.669346434</v>
      </c>
      <c r="Y101" s="912">
        <f t="shared" si="68"/>
        <v>619498.7027333627</v>
      </c>
      <c r="Z101" s="912">
        <f t="shared" si="68"/>
        <v>631888.67678803</v>
      </c>
      <c r="AA101" s="912">
        <f t="shared" si="68"/>
        <v>644526.4503237905</v>
      </c>
      <c r="AB101" s="912">
        <f t="shared" si="68"/>
        <v>657416.9793302664</v>
      </c>
      <c r="AC101" s="913">
        <f t="shared" si="68"/>
        <v>670565.3189168717</v>
      </c>
    </row>
    <row r="102" spans="2:29" ht="12.75">
      <c r="B102" s="309"/>
      <c r="C102" s="309"/>
      <c r="D102" s="309"/>
      <c r="E102" s="318"/>
      <c r="F102" s="318"/>
      <c r="G102" s="319"/>
      <c r="H102" s="319"/>
      <c r="I102" s="319"/>
      <c r="J102" s="319"/>
      <c r="K102" s="309"/>
      <c r="L102" s="309"/>
      <c r="M102" s="309"/>
      <c r="N102" s="309"/>
      <c r="O102" s="309"/>
      <c r="P102" s="309"/>
      <c r="Q102" s="309"/>
      <c r="R102" s="309"/>
      <c r="S102" s="309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</row>
    <row r="103" spans="2:29" ht="13.5" thickBot="1"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</row>
    <row r="104" spans="2:29" ht="12.75">
      <c r="B104" s="417" t="s">
        <v>233</v>
      </c>
      <c r="C104" s="436" t="s">
        <v>256</v>
      </c>
      <c r="D104" s="419"/>
      <c r="E104" s="1002">
        <f aca="true" t="shared" si="69" ref="E104:AC104">E69</f>
        <v>2014</v>
      </c>
      <c r="F104" s="982">
        <f t="shared" si="69"/>
        <v>2015</v>
      </c>
      <c r="G104" s="982">
        <f t="shared" si="69"/>
        <v>2016</v>
      </c>
      <c r="H104" s="982">
        <f t="shared" si="69"/>
        <v>2017</v>
      </c>
      <c r="I104" s="982">
        <f t="shared" si="69"/>
        <v>2018</v>
      </c>
      <c r="J104" s="982">
        <f t="shared" si="69"/>
        <v>2019</v>
      </c>
      <c r="K104" s="982">
        <f t="shared" si="69"/>
        <v>2020</v>
      </c>
      <c r="L104" s="982">
        <f t="shared" si="69"/>
        <v>2021</v>
      </c>
      <c r="M104" s="982">
        <f t="shared" si="69"/>
        <v>2022</v>
      </c>
      <c r="N104" s="982">
        <f t="shared" si="69"/>
        <v>2023</v>
      </c>
      <c r="O104" s="982">
        <f t="shared" si="69"/>
        <v>2024</v>
      </c>
      <c r="P104" s="982">
        <f t="shared" si="69"/>
        <v>2025</v>
      </c>
      <c r="Q104" s="982">
        <f t="shared" si="69"/>
        <v>2026</v>
      </c>
      <c r="R104" s="982">
        <f t="shared" si="69"/>
        <v>2027</v>
      </c>
      <c r="S104" s="982">
        <f t="shared" si="69"/>
        <v>2028</v>
      </c>
      <c r="T104" s="982">
        <f t="shared" si="69"/>
        <v>2029</v>
      </c>
      <c r="U104" s="982">
        <f t="shared" si="69"/>
        <v>2030</v>
      </c>
      <c r="V104" s="982">
        <f t="shared" si="69"/>
        <v>2031</v>
      </c>
      <c r="W104" s="982">
        <f t="shared" si="69"/>
        <v>2032</v>
      </c>
      <c r="X104" s="982">
        <f t="shared" si="69"/>
        <v>2033</v>
      </c>
      <c r="Y104" s="982">
        <f t="shared" si="69"/>
        <v>2034</v>
      </c>
      <c r="Z104" s="982">
        <f t="shared" si="69"/>
        <v>2035</v>
      </c>
      <c r="AA104" s="982">
        <f t="shared" si="69"/>
        <v>2036</v>
      </c>
      <c r="AB104" s="982">
        <f t="shared" si="69"/>
        <v>2037</v>
      </c>
      <c r="AC104" s="996">
        <f t="shared" si="69"/>
        <v>2038</v>
      </c>
    </row>
    <row r="105" spans="2:29" ht="13.5" thickBot="1">
      <c r="B105" s="420" t="s">
        <v>25</v>
      </c>
      <c r="C105" s="421" t="s">
        <v>95</v>
      </c>
      <c r="D105" s="437"/>
      <c r="E105" s="1003"/>
      <c r="F105" s="983"/>
      <c r="G105" s="983"/>
      <c r="H105" s="983"/>
      <c r="I105" s="983"/>
      <c r="J105" s="983"/>
      <c r="K105" s="983"/>
      <c r="L105" s="983"/>
      <c r="M105" s="983"/>
      <c r="N105" s="983"/>
      <c r="O105" s="983"/>
      <c r="P105" s="983"/>
      <c r="Q105" s="983"/>
      <c r="R105" s="983"/>
      <c r="S105" s="983"/>
      <c r="T105" s="983"/>
      <c r="U105" s="983"/>
      <c r="V105" s="983"/>
      <c r="W105" s="983"/>
      <c r="X105" s="983"/>
      <c r="Y105" s="983"/>
      <c r="Z105" s="983"/>
      <c r="AA105" s="983"/>
      <c r="AB105" s="983"/>
      <c r="AC105" s="997"/>
    </row>
    <row r="106" spans="2:29" ht="12">
      <c r="B106" s="426">
        <f aca="true" t="shared" si="70" ref="B106:C118">B89</f>
        <v>13167</v>
      </c>
      <c r="C106" s="438" t="str">
        <f t="shared" si="70"/>
        <v>Dozorčí provozu</v>
      </c>
      <c r="D106" s="439"/>
      <c r="E106" s="320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  <c r="AC106" s="322"/>
    </row>
    <row r="107" spans="2:29" ht="12">
      <c r="B107" s="426">
        <f t="shared" si="70"/>
        <v>31606</v>
      </c>
      <c r="C107" s="440" t="str">
        <f t="shared" si="70"/>
        <v>Výpravčí</v>
      </c>
      <c r="D107" s="441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</row>
    <row r="108" spans="2:29" ht="12">
      <c r="B108" s="426">
        <f t="shared" si="70"/>
        <v>31608</v>
      </c>
      <c r="C108" s="440" t="str">
        <f t="shared" si="70"/>
        <v>Dozorčí provozu - vedoucí směny</v>
      </c>
      <c r="D108" s="441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1"/>
    </row>
    <row r="109" spans="2:29" ht="12">
      <c r="B109" s="426">
        <f t="shared" si="70"/>
        <v>41333</v>
      </c>
      <c r="C109" s="440" t="str">
        <f t="shared" si="70"/>
        <v>Operátor železniční dopravy</v>
      </c>
      <c r="D109" s="441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</row>
    <row r="110" spans="2:29" ht="12">
      <c r="B110" s="426">
        <f t="shared" si="70"/>
        <v>83135</v>
      </c>
      <c r="C110" s="440" t="str">
        <f t="shared" si="70"/>
        <v>Signalista</v>
      </c>
      <c r="D110" s="441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1"/>
    </row>
    <row r="111" spans="2:29" ht="12">
      <c r="B111" s="426">
        <f t="shared" si="70"/>
        <v>83137</v>
      </c>
      <c r="C111" s="440" t="str">
        <f t="shared" si="70"/>
        <v>Výhybkář</v>
      </c>
      <c r="D111" s="441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</row>
    <row r="112" spans="2:29" ht="12">
      <c r="B112" s="426">
        <f t="shared" si="70"/>
        <v>83141</v>
      </c>
      <c r="C112" s="440" t="str">
        <f t="shared" si="70"/>
        <v>Staniční dozorce</v>
      </c>
      <c r="D112" s="441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1"/>
    </row>
    <row r="113" spans="2:29" ht="12">
      <c r="B113" s="426">
        <f t="shared" si="70"/>
        <v>83142</v>
      </c>
      <c r="C113" s="440" t="str">
        <f t="shared" si="70"/>
        <v>Dozorce výhybek</v>
      </c>
      <c r="D113" s="441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</row>
    <row r="114" spans="2:29" ht="12">
      <c r="B114" s="426">
        <f t="shared" si="70"/>
        <v>83143</v>
      </c>
      <c r="C114" s="440" t="str">
        <f t="shared" si="70"/>
        <v>Závorář</v>
      </c>
      <c r="D114" s="441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1"/>
    </row>
    <row r="115" spans="2:29" ht="12">
      <c r="B115" s="426">
        <f t="shared" si="70"/>
        <v>83144</v>
      </c>
      <c r="C115" s="442" t="str">
        <f t="shared" si="70"/>
        <v>Závorář s prodejem jízdenek</v>
      </c>
      <c r="D115" s="441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</row>
    <row r="116" spans="2:29" ht="12">
      <c r="B116" s="426">
        <f t="shared" si="70"/>
        <v>83145</v>
      </c>
      <c r="C116" s="443" t="str">
        <f t="shared" si="70"/>
        <v>Hradlář - hláskař</v>
      </c>
      <c r="D116" s="441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1"/>
    </row>
    <row r="117" spans="2:29" ht="12">
      <c r="B117" s="426">
        <f t="shared" si="70"/>
        <v>83146</v>
      </c>
      <c r="C117" s="443" t="str">
        <f t="shared" si="70"/>
        <v>Hradlář - hláskař s prodejem jízdenek</v>
      </c>
      <c r="D117" s="441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1"/>
    </row>
    <row r="118" spans="2:29" ht="12">
      <c r="B118" s="426">
        <f t="shared" si="70"/>
        <v>93398</v>
      </c>
      <c r="C118" s="444" t="str">
        <f t="shared" si="70"/>
        <v>Dělník v dopravě - staniční dělník</v>
      </c>
      <c r="D118" s="441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1"/>
    </row>
    <row r="119" spans="2:29" ht="12.75" thickBot="1">
      <c r="B119" s="445"/>
      <c r="C119" s="446" t="s">
        <v>83</v>
      </c>
      <c r="D119" s="447"/>
      <c r="E119" s="448">
        <f aca="true" t="shared" si="71" ref="E119:AC119">SUM(E106:E118)</f>
        <v>0</v>
      </c>
      <c r="F119" s="449">
        <f t="shared" si="71"/>
        <v>0</v>
      </c>
      <c r="G119" s="449">
        <f t="shared" si="71"/>
        <v>0</v>
      </c>
      <c r="H119" s="449">
        <f t="shared" si="71"/>
        <v>0</v>
      </c>
      <c r="I119" s="449">
        <f t="shared" si="71"/>
        <v>0</v>
      </c>
      <c r="J119" s="449">
        <f t="shared" si="71"/>
        <v>0</v>
      </c>
      <c r="K119" s="449">
        <f t="shared" si="71"/>
        <v>0</v>
      </c>
      <c r="L119" s="449">
        <f t="shared" si="71"/>
        <v>0</v>
      </c>
      <c r="M119" s="449">
        <f t="shared" si="71"/>
        <v>0</v>
      </c>
      <c r="N119" s="449">
        <f t="shared" si="71"/>
        <v>0</v>
      </c>
      <c r="O119" s="449">
        <f t="shared" si="71"/>
        <v>0</v>
      </c>
      <c r="P119" s="449">
        <f t="shared" si="71"/>
        <v>0</v>
      </c>
      <c r="Q119" s="449">
        <f t="shared" si="71"/>
        <v>0</v>
      </c>
      <c r="R119" s="449">
        <f t="shared" si="71"/>
        <v>0</v>
      </c>
      <c r="S119" s="449">
        <f t="shared" si="71"/>
        <v>0</v>
      </c>
      <c r="T119" s="449">
        <f t="shared" si="71"/>
        <v>0</v>
      </c>
      <c r="U119" s="449">
        <f t="shared" si="71"/>
        <v>0</v>
      </c>
      <c r="V119" s="449">
        <f t="shared" si="71"/>
        <v>0</v>
      </c>
      <c r="W119" s="449">
        <f t="shared" si="71"/>
        <v>0</v>
      </c>
      <c r="X119" s="449">
        <f t="shared" si="71"/>
        <v>0</v>
      </c>
      <c r="Y119" s="449">
        <f t="shared" si="71"/>
        <v>0</v>
      </c>
      <c r="Z119" s="449">
        <f t="shared" si="71"/>
        <v>0</v>
      </c>
      <c r="AA119" s="449">
        <f t="shared" si="71"/>
        <v>0</v>
      </c>
      <c r="AB119" s="449">
        <f t="shared" si="71"/>
        <v>0</v>
      </c>
      <c r="AC119" s="450">
        <f t="shared" si="71"/>
        <v>0</v>
      </c>
    </row>
    <row r="120" spans="2:29" ht="12.75" thickBot="1">
      <c r="B120" s="445"/>
      <c r="C120" s="446" t="s">
        <v>288</v>
      </c>
      <c r="D120" s="447"/>
      <c r="E120" s="323">
        <f>SUMPRODUCT($E$55:$E$67*(E$72/$D$55)/4,E106:E118-F106:F118)</f>
        <v>0</v>
      </c>
      <c r="F120" s="324">
        <f aca="true" t="shared" si="72" ref="F120:AB120">SUMPRODUCT($E$55:$E$67*(F$72/$D$55)/4,F106:F118-G106:G118)</f>
        <v>0</v>
      </c>
      <c r="G120" s="324">
        <f t="shared" si="72"/>
        <v>0</v>
      </c>
      <c r="H120" s="324">
        <f t="shared" si="72"/>
        <v>0</v>
      </c>
      <c r="I120" s="324">
        <f t="shared" si="72"/>
        <v>0</v>
      </c>
      <c r="J120" s="324">
        <f t="shared" si="72"/>
        <v>0</v>
      </c>
      <c r="K120" s="324">
        <f t="shared" si="72"/>
        <v>0</v>
      </c>
      <c r="L120" s="324">
        <f t="shared" si="72"/>
        <v>0</v>
      </c>
      <c r="M120" s="324">
        <f t="shared" si="72"/>
        <v>0</v>
      </c>
      <c r="N120" s="324">
        <f t="shared" si="72"/>
        <v>0</v>
      </c>
      <c r="O120" s="324">
        <f>SUMPRODUCT($E$55:$E$67*(O$72/$D$55)/4,O106:O118-P106:P118)</f>
        <v>0</v>
      </c>
      <c r="P120" s="324">
        <f t="shared" si="72"/>
        <v>0</v>
      </c>
      <c r="Q120" s="324">
        <f t="shared" si="72"/>
        <v>0</v>
      </c>
      <c r="R120" s="324">
        <f t="shared" si="72"/>
        <v>0</v>
      </c>
      <c r="S120" s="324">
        <f t="shared" si="72"/>
        <v>0</v>
      </c>
      <c r="T120" s="324">
        <f t="shared" si="72"/>
        <v>0</v>
      </c>
      <c r="U120" s="324">
        <f t="shared" si="72"/>
        <v>0</v>
      </c>
      <c r="V120" s="324">
        <f t="shared" si="72"/>
        <v>0</v>
      </c>
      <c r="W120" s="324">
        <f t="shared" si="72"/>
        <v>0</v>
      </c>
      <c r="X120" s="324">
        <f t="shared" si="72"/>
        <v>0</v>
      </c>
      <c r="Y120" s="324">
        <f t="shared" si="72"/>
        <v>0</v>
      </c>
      <c r="Z120" s="324">
        <f t="shared" si="72"/>
        <v>0</v>
      </c>
      <c r="AA120" s="324">
        <f t="shared" si="72"/>
        <v>0</v>
      </c>
      <c r="AB120" s="324">
        <f t="shared" si="72"/>
        <v>0</v>
      </c>
      <c r="AC120" s="325">
        <f>SUMPRODUCT($E$55:$E$67*(AC$72/$D$55)/4,AC106:AC118-E124:E136)</f>
        <v>0</v>
      </c>
    </row>
    <row r="121" spans="2:29" ht="12" thickBot="1">
      <c r="B121" s="326"/>
      <c r="C121" s="316"/>
      <c r="D121" s="317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</row>
    <row r="122" spans="2:29" ht="12.75">
      <c r="B122" s="417" t="str">
        <f>B104</f>
        <v>3.6.</v>
      </c>
      <c r="C122" s="433" t="str">
        <f>C104</f>
        <v>Počty zaměstnanců</v>
      </c>
      <c r="D122" s="434"/>
      <c r="E122" s="1002">
        <f aca="true" t="shared" si="73" ref="E122:AC122">E86</f>
        <v>2039</v>
      </c>
      <c r="F122" s="982">
        <f t="shared" si="73"/>
        <v>2040</v>
      </c>
      <c r="G122" s="982">
        <f t="shared" si="73"/>
        <v>2041</v>
      </c>
      <c r="H122" s="982">
        <f t="shared" si="73"/>
        <v>2042</v>
      </c>
      <c r="I122" s="982">
        <f t="shared" si="73"/>
        <v>2043</v>
      </c>
      <c r="J122" s="982">
        <f t="shared" si="73"/>
        <v>2044</v>
      </c>
      <c r="K122" s="982">
        <f t="shared" si="73"/>
        <v>2045</v>
      </c>
      <c r="L122" s="982">
        <f t="shared" si="73"/>
        <v>2046</v>
      </c>
      <c r="M122" s="982">
        <f t="shared" si="73"/>
        <v>2047</v>
      </c>
      <c r="N122" s="982">
        <f t="shared" si="73"/>
        <v>2048</v>
      </c>
      <c r="O122" s="982">
        <f t="shared" si="73"/>
        <v>2049</v>
      </c>
      <c r="P122" s="982">
        <f t="shared" si="73"/>
        <v>2050</v>
      </c>
      <c r="Q122" s="982">
        <f t="shared" si="73"/>
        <v>2051</v>
      </c>
      <c r="R122" s="982">
        <f t="shared" si="73"/>
        <v>2052</v>
      </c>
      <c r="S122" s="982">
        <f t="shared" si="73"/>
        <v>2053</v>
      </c>
      <c r="T122" s="982">
        <f t="shared" si="73"/>
        <v>2054</v>
      </c>
      <c r="U122" s="982">
        <f t="shared" si="73"/>
        <v>2055</v>
      </c>
      <c r="V122" s="982">
        <f t="shared" si="73"/>
        <v>2056</v>
      </c>
      <c r="W122" s="982">
        <f t="shared" si="73"/>
        <v>2057</v>
      </c>
      <c r="X122" s="982">
        <f t="shared" si="73"/>
        <v>2058</v>
      </c>
      <c r="Y122" s="982">
        <f t="shared" si="73"/>
        <v>2059</v>
      </c>
      <c r="Z122" s="982">
        <f t="shared" si="73"/>
        <v>2060</v>
      </c>
      <c r="AA122" s="982">
        <f t="shared" si="73"/>
        <v>2061</v>
      </c>
      <c r="AB122" s="982">
        <f t="shared" si="73"/>
        <v>2062</v>
      </c>
      <c r="AC122" s="996">
        <f t="shared" si="73"/>
        <v>2063</v>
      </c>
    </row>
    <row r="123" spans="2:29" ht="13.5" thickBot="1">
      <c r="B123" s="420" t="s">
        <v>26</v>
      </c>
      <c r="C123" s="421" t="s">
        <v>95</v>
      </c>
      <c r="D123" s="451"/>
      <c r="E123" s="1003"/>
      <c r="F123" s="983"/>
      <c r="G123" s="983"/>
      <c r="H123" s="983"/>
      <c r="I123" s="983"/>
      <c r="J123" s="983"/>
      <c r="K123" s="983"/>
      <c r="L123" s="983"/>
      <c r="M123" s="983"/>
      <c r="N123" s="983"/>
      <c r="O123" s="983"/>
      <c r="P123" s="983"/>
      <c r="Q123" s="983"/>
      <c r="R123" s="983"/>
      <c r="S123" s="983"/>
      <c r="T123" s="983"/>
      <c r="U123" s="983"/>
      <c r="V123" s="983"/>
      <c r="W123" s="983"/>
      <c r="X123" s="983"/>
      <c r="Y123" s="983"/>
      <c r="Z123" s="983"/>
      <c r="AA123" s="983"/>
      <c r="AB123" s="983"/>
      <c r="AC123" s="997"/>
    </row>
    <row r="124" spans="2:29" ht="12">
      <c r="B124" s="426">
        <f aca="true" t="shared" si="74" ref="B124:C136">B106</f>
        <v>13167</v>
      </c>
      <c r="C124" s="438" t="str">
        <f t="shared" si="74"/>
        <v>Dozorčí provozu</v>
      </c>
      <c r="D124" s="439"/>
      <c r="E124" s="320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2"/>
    </row>
    <row r="125" spans="2:29" ht="12">
      <c r="B125" s="426">
        <f t="shared" si="74"/>
        <v>31606</v>
      </c>
      <c r="C125" s="440" t="str">
        <f t="shared" si="74"/>
        <v>Výpravčí</v>
      </c>
      <c r="D125" s="441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</row>
    <row r="126" spans="2:29" ht="12">
      <c r="B126" s="426">
        <f t="shared" si="74"/>
        <v>31608</v>
      </c>
      <c r="C126" s="440" t="str">
        <f t="shared" si="74"/>
        <v>Dozorčí provozu - vedoucí směny</v>
      </c>
      <c r="D126" s="441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1"/>
    </row>
    <row r="127" spans="2:29" ht="12">
      <c r="B127" s="426">
        <f t="shared" si="74"/>
        <v>41333</v>
      </c>
      <c r="C127" s="440" t="str">
        <f t="shared" si="74"/>
        <v>Operátor železniční dopravy</v>
      </c>
      <c r="D127" s="441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1"/>
    </row>
    <row r="128" spans="2:29" ht="12">
      <c r="B128" s="426">
        <f t="shared" si="74"/>
        <v>83135</v>
      </c>
      <c r="C128" s="440" t="str">
        <f t="shared" si="74"/>
        <v>Signalista</v>
      </c>
      <c r="D128" s="441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1"/>
    </row>
    <row r="129" spans="2:29" ht="12">
      <c r="B129" s="426">
        <f t="shared" si="74"/>
        <v>83137</v>
      </c>
      <c r="C129" s="440" t="str">
        <f t="shared" si="74"/>
        <v>Výhybkář</v>
      </c>
      <c r="D129" s="441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</row>
    <row r="130" spans="2:29" ht="12">
      <c r="B130" s="426">
        <f t="shared" si="74"/>
        <v>83141</v>
      </c>
      <c r="C130" s="440" t="str">
        <f t="shared" si="74"/>
        <v>Staniční dozorce</v>
      </c>
      <c r="D130" s="441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</row>
    <row r="131" spans="2:29" ht="12">
      <c r="B131" s="426">
        <f t="shared" si="74"/>
        <v>83142</v>
      </c>
      <c r="C131" s="440" t="str">
        <f t="shared" si="74"/>
        <v>Dozorce výhybek</v>
      </c>
      <c r="D131" s="441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1"/>
    </row>
    <row r="132" spans="2:29" ht="12">
      <c r="B132" s="426">
        <f t="shared" si="74"/>
        <v>83143</v>
      </c>
      <c r="C132" s="440" t="str">
        <f t="shared" si="74"/>
        <v>Závorář</v>
      </c>
      <c r="D132" s="441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1"/>
    </row>
    <row r="133" spans="2:29" ht="12">
      <c r="B133" s="426">
        <f t="shared" si="74"/>
        <v>83144</v>
      </c>
      <c r="C133" s="442" t="str">
        <f t="shared" si="74"/>
        <v>Závorář s prodejem jízdenek</v>
      </c>
      <c r="D133" s="441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1"/>
    </row>
    <row r="134" spans="2:29" ht="12">
      <c r="B134" s="426">
        <f t="shared" si="74"/>
        <v>83145</v>
      </c>
      <c r="C134" s="443" t="str">
        <f t="shared" si="74"/>
        <v>Hradlář - hláskař</v>
      </c>
      <c r="D134" s="441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1"/>
    </row>
    <row r="135" spans="2:29" ht="12">
      <c r="B135" s="426">
        <f t="shared" si="74"/>
        <v>83146</v>
      </c>
      <c r="C135" s="443" t="str">
        <f t="shared" si="74"/>
        <v>Hradlář - hláskař s prodejem jízdenek</v>
      </c>
      <c r="D135" s="441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1"/>
    </row>
    <row r="136" spans="2:29" ht="12">
      <c r="B136" s="426">
        <f t="shared" si="74"/>
        <v>93398</v>
      </c>
      <c r="C136" s="452" t="str">
        <f t="shared" si="74"/>
        <v>Dělník v dopravě - staniční dělník</v>
      </c>
      <c r="D136" s="441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1"/>
    </row>
    <row r="137" spans="2:29" ht="12.75" thickBot="1">
      <c r="B137" s="445"/>
      <c r="C137" s="446" t="s">
        <v>83</v>
      </c>
      <c r="D137" s="453"/>
      <c r="E137" s="448">
        <f>SUM(E124:E136)</f>
        <v>0</v>
      </c>
      <c r="F137" s="449">
        <f aca="true" t="shared" si="75" ref="F137:AC137">SUM(F124:F136)</f>
        <v>0</v>
      </c>
      <c r="G137" s="449">
        <f t="shared" si="75"/>
        <v>0</v>
      </c>
      <c r="H137" s="449">
        <f t="shared" si="75"/>
        <v>0</v>
      </c>
      <c r="I137" s="449">
        <f t="shared" si="75"/>
        <v>0</v>
      </c>
      <c r="J137" s="449">
        <f t="shared" si="75"/>
        <v>0</v>
      </c>
      <c r="K137" s="449">
        <f t="shared" si="75"/>
        <v>0</v>
      </c>
      <c r="L137" s="449">
        <f t="shared" si="75"/>
        <v>0</v>
      </c>
      <c r="M137" s="449">
        <f t="shared" si="75"/>
        <v>0</v>
      </c>
      <c r="N137" s="449">
        <f t="shared" si="75"/>
        <v>0</v>
      </c>
      <c r="O137" s="449">
        <f t="shared" si="75"/>
        <v>0</v>
      </c>
      <c r="P137" s="449">
        <f t="shared" si="75"/>
        <v>0</v>
      </c>
      <c r="Q137" s="449">
        <f t="shared" si="75"/>
        <v>0</v>
      </c>
      <c r="R137" s="449">
        <f t="shared" si="75"/>
        <v>0</v>
      </c>
      <c r="S137" s="449">
        <f t="shared" si="75"/>
        <v>0</v>
      </c>
      <c r="T137" s="449">
        <f t="shared" si="75"/>
        <v>0</v>
      </c>
      <c r="U137" s="449">
        <f t="shared" si="75"/>
        <v>0</v>
      </c>
      <c r="V137" s="449">
        <f t="shared" si="75"/>
        <v>0</v>
      </c>
      <c r="W137" s="449">
        <f t="shared" si="75"/>
        <v>0</v>
      </c>
      <c r="X137" s="449">
        <f t="shared" si="75"/>
        <v>0</v>
      </c>
      <c r="Y137" s="449">
        <f t="shared" si="75"/>
        <v>0</v>
      </c>
      <c r="Z137" s="449">
        <f t="shared" si="75"/>
        <v>0</v>
      </c>
      <c r="AA137" s="449">
        <f t="shared" si="75"/>
        <v>0</v>
      </c>
      <c r="AB137" s="449">
        <f t="shared" si="75"/>
        <v>0</v>
      </c>
      <c r="AC137" s="450">
        <f t="shared" si="75"/>
        <v>0</v>
      </c>
    </row>
    <row r="138" spans="2:29" ht="12.75" thickBot="1">
      <c r="B138" s="445"/>
      <c r="C138" s="446" t="s">
        <v>288</v>
      </c>
      <c r="D138" s="447"/>
      <c r="E138" s="323">
        <f>SUMPRODUCT($E$55:$E$67*(E$89/$D$55)/4,E124:E136-F124:F136)</f>
        <v>0</v>
      </c>
      <c r="F138" s="324">
        <f aca="true" t="shared" si="76" ref="F138:AB138">SUMPRODUCT($E$55:$E$67*(F$89/$D$55)/4,F124:F136-G124:G136)</f>
        <v>0</v>
      </c>
      <c r="G138" s="324">
        <f t="shared" si="76"/>
        <v>0</v>
      </c>
      <c r="H138" s="324">
        <f t="shared" si="76"/>
        <v>0</v>
      </c>
      <c r="I138" s="324">
        <f t="shared" si="76"/>
        <v>0</v>
      </c>
      <c r="J138" s="324">
        <f t="shared" si="76"/>
        <v>0</v>
      </c>
      <c r="K138" s="324">
        <f t="shared" si="76"/>
        <v>0</v>
      </c>
      <c r="L138" s="324">
        <f t="shared" si="76"/>
        <v>0</v>
      </c>
      <c r="M138" s="324">
        <f t="shared" si="76"/>
        <v>0</v>
      </c>
      <c r="N138" s="324">
        <f t="shared" si="76"/>
        <v>0</v>
      </c>
      <c r="O138" s="324">
        <f t="shared" si="76"/>
        <v>0</v>
      </c>
      <c r="P138" s="324">
        <f t="shared" si="76"/>
        <v>0</v>
      </c>
      <c r="Q138" s="324">
        <f t="shared" si="76"/>
        <v>0</v>
      </c>
      <c r="R138" s="324">
        <f t="shared" si="76"/>
        <v>0</v>
      </c>
      <c r="S138" s="324">
        <f t="shared" si="76"/>
        <v>0</v>
      </c>
      <c r="T138" s="324">
        <f t="shared" si="76"/>
        <v>0</v>
      </c>
      <c r="U138" s="324">
        <f t="shared" si="76"/>
        <v>0</v>
      </c>
      <c r="V138" s="324">
        <f t="shared" si="76"/>
        <v>0</v>
      </c>
      <c r="W138" s="324">
        <f t="shared" si="76"/>
        <v>0</v>
      </c>
      <c r="X138" s="324">
        <f t="shared" si="76"/>
        <v>0</v>
      </c>
      <c r="Y138" s="324">
        <f t="shared" si="76"/>
        <v>0</v>
      </c>
      <c r="Z138" s="324">
        <f t="shared" si="76"/>
        <v>0</v>
      </c>
      <c r="AA138" s="324">
        <f t="shared" si="76"/>
        <v>0</v>
      </c>
      <c r="AB138" s="324">
        <f t="shared" si="76"/>
        <v>0</v>
      </c>
      <c r="AC138" s="325">
        <v>0</v>
      </c>
    </row>
    <row r="139" spans="2:29" ht="12" thickBot="1">
      <c r="B139" s="327"/>
      <c r="C139" s="328"/>
      <c r="D139" s="317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</row>
    <row r="140" spans="2:29" ht="12.75">
      <c r="B140" s="454" t="s">
        <v>215</v>
      </c>
      <c r="C140" s="455" t="str">
        <f>C122</f>
        <v>Počty zaměstnanců</v>
      </c>
      <c r="D140" s="456"/>
      <c r="E140" s="1004">
        <f aca="true" t="shared" si="77" ref="E140:AC140">E104</f>
        <v>2014</v>
      </c>
      <c r="F140" s="998">
        <f t="shared" si="77"/>
        <v>2015</v>
      </c>
      <c r="G140" s="998">
        <f t="shared" si="77"/>
        <v>2016</v>
      </c>
      <c r="H140" s="998">
        <f t="shared" si="77"/>
        <v>2017</v>
      </c>
      <c r="I140" s="998">
        <f t="shared" si="77"/>
        <v>2018</v>
      </c>
      <c r="J140" s="998">
        <f t="shared" si="77"/>
        <v>2019</v>
      </c>
      <c r="K140" s="998">
        <f t="shared" si="77"/>
        <v>2020</v>
      </c>
      <c r="L140" s="998">
        <f t="shared" si="77"/>
        <v>2021</v>
      </c>
      <c r="M140" s="998">
        <f t="shared" si="77"/>
        <v>2022</v>
      </c>
      <c r="N140" s="998">
        <f t="shared" si="77"/>
        <v>2023</v>
      </c>
      <c r="O140" s="998">
        <f t="shared" si="77"/>
        <v>2024</v>
      </c>
      <c r="P140" s="998">
        <f t="shared" si="77"/>
        <v>2025</v>
      </c>
      <c r="Q140" s="998">
        <f t="shared" si="77"/>
        <v>2026</v>
      </c>
      <c r="R140" s="998">
        <f t="shared" si="77"/>
        <v>2027</v>
      </c>
      <c r="S140" s="998">
        <f t="shared" si="77"/>
        <v>2028</v>
      </c>
      <c r="T140" s="998">
        <f t="shared" si="77"/>
        <v>2029</v>
      </c>
      <c r="U140" s="998">
        <f t="shared" si="77"/>
        <v>2030</v>
      </c>
      <c r="V140" s="998">
        <f t="shared" si="77"/>
        <v>2031</v>
      </c>
      <c r="W140" s="998">
        <f t="shared" si="77"/>
        <v>2032</v>
      </c>
      <c r="X140" s="998">
        <f t="shared" si="77"/>
        <v>2033</v>
      </c>
      <c r="Y140" s="998">
        <f t="shared" si="77"/>
        <v>2034</v>
      </c>
      <c r="Z140" s="998">
        <f t="shared" si="77"/>
        <v>2035</v>
      </c>
      <c r="AA140" s="998">
        <f t="shared" si="77"/>
        <v>2036</v>
      </c>
      <c r="AB140" s="998">
        <f t="shared" si="77"/>
        <v>2037</v>
      </c>
      <c r="AC140" s="1000">
        <f t="shared" si="77"/>
        <v>2038</v>
      </c>
    </row>
    <row r="141" spans="2:29" ht="13.5" thickBot="1">
      <c r="B141" s="457" t="s">
        <v>25</v>
      </c>
      <c r="C141" s="458" t="s">
        <v>100</v>
      </c>
      <c r="D141" s="459"/>
      <c r="E141" s="1005"/>
      <c r="F141" s="999"/>
      <c r="G141" s="999"/>
      <c r="H141" s="999"/>
      <c r="I141" s="999"/>
      <c r="J141" s="999"/>
      <c r="K141" s="999"/>
      <c r="L141" s="999"/>
      <c r="M141" s="999"/>
      <c r="N141" s="999"/>
      <c r="O141" s="999"/>
      <c r="P141" s="999"/>
      <c r="Q141" s="999"/>
      <c r="R141" s="999"/>
      <c r="S141" s="999"/>
      <c r="T141" s="999"/>
      <c r="U141" s="999"/>
      <c r="V141" s="999"/>
      <c r="W141" s="999"/>
      <c r="X141" s="999"/>
      <c r="Y141" s="999"/>
      <c r="Z141" s="999"/>
      <c r="AA141" s="999"/>
      <c r="AB141" s="999"/>
      <c r="AC141" s="1001"/>
    </row>
    <row r="142" spans="2:29" ht="12">
      <c r="B142" s="426">
        <f aca="true" t="shared" si="78" ref="B142:C154">B124</f>
        <v>13167</v>
      </c>
      <c r="C142" s="438" t="str">
        <f t="shared" si="78"/>
        <v>Dozorčí provozu</v>
      </c>
      <c r="D142" s="439"/>
      <c r="E142" s="320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2"/>
    </row>
    <row r="143" spans="2:29" ht="12">
      <c r="B143" s="426">
        <f t="shared" si="78"/>
        <v>31606</v>
      </c>
      <c r="C143" s="440" t="str">
        <f t="shared" si="78"/>
        <v>Výpravčí</v>
      </c>
      <c r="D143" s="441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1"/>
    </row>
    <row r="144" spans="2:29" ht="12">
      <c r="B144" s="426">
        <f t="shared" si="78"/>
        <v>31608</v>
      </c>
      <c r="C144" s="440" t="str">
        <f t="shared" si="78"/>
        <v>Dozorčí provozu - vedoucí směny</v>
      </c>
      <c r="D144" s="441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1"/>
    </row>
    <row r="145" spans="2:29" ht="12">
      <c r="B145" s="426">
        <f t="shared" si="78"/>
        <v>41333</v>
      </c>
      <c r="C145" s="440" t="str">
        <f t="shared" si="78"/>
        <v>Operátor železniční dopravy</v>
      </c>
      <c r="D145" s="441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1"/>
    </row>
    <row r="146" spans="2:29" ht="12">
      <c r="B146" s="426">
        <f t="shared" si="78"/>
        <v>83135</v>
      </c>
      <c r="C146" s="440" t="str">
        <f t="shared" si="78"/>
        <v>Signalista</v>
      </c>
      <c r="D146" s="441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1"/>
    </row>
    <row r="147" spans="2:29" ht="12">
      <c r="B147" s="426">
        <f t="shared" si="78"/>
        <v>83137</v>
      </c>
      <c r="C147" s="440" t="str">
        <f t="shared" si="78"/>
        <v>Výhybkář</v>
      </c>
      <c r="D147" s="441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1"/>
    </row>
    <row r="148" spans="2:29" ht="12">
      <c r="B148" s="426">
        <f t="shared" si="78"/>
        <v>83141</v>
      </c>
      <c r="C148" s="440" t="str">
        <f t="shared" si="78"/>
        <v>Staniční dozorce</v>
      </c>
      <c r="D148" s="441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1"/>
    </row>
    <row r="149" spans="2:29" ht="12">
      <c r="B149" s="426">
        <f t="shared" si="78"/>
        <v>83142</v>
      </c>
      <c r="C149" s="440" t="str">
        <f t="shared" si="78"/>
        <v>Dozorce výhybek</v>
      </c>
      <c r="D149" s="441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1"/>
    </row>
    <row r="150" spans="2:29" ht="12">
      <c r="B150" s="426">
        <f t="shared" si="78"/>
        <v>83143</v>
      </c>
      <c r="C150" s="440" t="str">
        <f t="shared" si="78"/>
        <v>Závorář</v>
      </c>
      <c r="D150" s="441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1"/>
    </row>
    <row r="151" spans="2:29" ht="12">
      <c r="B151" s="426">
        <f t="shared" si="78"/>
        <v>83144</v>
      </c>
      <c r="C151" s="442" t="str">
        <f t="shared" si="78"/>
        <v>Závorář s prodejem jízdenek</v>
      </c>
      <c r="D151" s="441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1"/>
    </row>
    <row r="152" spans="2:29" ht="12">
      <c r="B152" s="426">
        <f t="shared" si="78"/>
        <v>83145</v>
      </c>
      <c r="C152" s="443" t="str">
        <f t="shared" si="78"/>
        <v>Hradlář - hláskař</v>
      </c>
      <c r="D152" s="441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1"/>
    </row>
    <row r="153" spans="2:29" ht="12">
      <c r="B153" s="426">
        <f t="shared" si="78"/>
        <v>83146</v>
      </c>
      <c r="C153" s="443" t="str">
        <f t="shared" si="78"/>
        <v>Hradlář - hláskař s prodejem jízdenek</v>
      </c>
      <c r="D153" s="441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1"/>
    </row>
    <row r="154" spans="2:29" ht="12">
      <c r="B154" s="426">
        <f t="shared" si="78"/>
        <v>93398</v>
      </c>
      <c r="C154" s="444" t="str">
        <f t="shared" si="78"/>
        <v>Dělník v dopravě - staniční dělník</v>
      </c>
      <c r="D154" s="441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1"/>
    </row>
    <row r="155" spans="2:29" ht="12.75" thickBot="1">
      <c r="B155" s="445"/>
      <c r="C155" s="446" t="s">
        <v>83</v>
      </c>
      <c r="D155" s="447"/>
      <c r="E155" s="448">
        <f>SUM(E142:E154)</f>
        <v>0</v>
      </c>
      <c r="F155" s="449">
        <f aca="true" t="shared" si="79" ref="F155:AC155">SUM(F142:F154)</f>
        <v>0</v>
      </c>
      <c r="G155" s="449">
        <f t="shared" si="79"/>
        <v>0</v>
      </c>
      <c r="H155" s="449">
        <f t="shared" si="79"/>
        <v>0</v>
      </c>
      <c r="I155" s="449">
        <f t="shared" si="79"/>
        <v>0</v>
      </c>
      <c r="J155" s="449">
        <f t="shared" si="79"/>
        <v>0</v>
      </c>
      <c r="K155" s="449">
        <f t="shared" si="79"/>
        <v>0</v>
      </c>
      <c r="L155" s="449">
        <f t="shared" si="79"/>
        <v>0</v>
      </c>
      <c r="M155" s="449">
        <f t="shared" si="79"/>
        <v>0</v>
      </c>
      <c r="N155" s="449">
        <f t="shared" si="79"/>
        <v>0</v>
      </c>
      <c r="O155" s="449">
        <f t="shared" si="79"/>
        <v>0</v>
      </c>
      <c r="P155" s="449">
        <f t="shared" si="79"/>
        <v>0</v>
      </c>
      <c r="Q155" s="449">
        <f t="shared" si="79"/>
        <v>0</v>
      </c>
      <c r="R155" s="449">
        <f t="shared" si="79"/>
        <v>0</v>
      </c>
      <c r="S155" s="449">
        <f t="shared" si="79"/>
        <v>0</v>
      </c>
      <c r="T155" s="449">
        <f t="shared" si="79"/>
        <v>0</v>
      </c>
      <c r="U155" s="449">
        <f t="shared" si="79"/>
        <v>0</v>
      </c>
      <c r="V155" s="449">
        <f t="shared" si="79"/>
        <v>0</v>
      </c>
      <c r="W155" s="449">
        <f t="shared" si="79"/>
        <v>0</v>
      </c>
      <c r="X155" s="449">
        <f t="shared" si="79"/>
        <v>0</v>
      </c>
      <c r="Y155" s="449">
        <f t="shared" si="79"/>
        <v>0</v>
      </c>
      <c r="Z155" s="449">
        <f t="shared" si="79"/>
        <v>0</v>
      </c>
      <c r="AA155" s="449">
        <f t="shared" si="79"/>
        <v>0</v>
      </c>
      <c r="AB155" s="449">
        <f t="shared" si="79"/>
        <v>0</v>
      </c>
      <c r="AC155" s="450">
        <f t="shared" si="79"/>
        <v>0</v>
      </c>
    </row>
    <row r="156" spans="2:29" ht="12.75" thickBot="1">
      <c r="B156" s="445"/>
      <c r="C156" s="446" t="s">
        <v>288</v>
      </c>
      <c r="D156" s="447"/>
      <c r="E156" s="323">
        <f>SUMPRODUCT($E$55:$E$67*(E$72/$D$55)/4,E142:E154-F142:F154)</f>
        <v>0</v>
      </c>
      <c r="F156" s="324">
        <f aca="true" t="shared" si="80" ref="F156:AB156">SUMPRODUCT($E$55:$E$67*(F$72/$D$55)/4,F142:F154-G142:G154)</f>
        <v>0</v>
      </c>
      <c r="G156" s="324">
        <f t="shared" si="80"/>
        <v>0</v>
      </c>
      <c r="H156" s="324">
        <f t="shared" si="80"/>
        <v>0</v>
      </c>
      <c r="I156" s="324">
        <f t="shared" si="80"/>
        <v>0</v>
      </c>
      <c r="J156" s="324">
        <f t="shared" si="80"/>
        <v>0</v>
      </c>
      <c r="K156" s="324">
        <f t="shared" si="80"/>
        <v>0</v>
      </c>
      <c r="L156" s="324">
        <f t="shared" si="80"/>
        <v>0</v>
      </c>
      <c r="M156" s="324">
        <f t="shared" si="80"/>
        <v>0</v>
      </c>
      <c r="N156" s="324">
        <f t="shared" si="80"/>
        <v>0</v>
      </c>
      <c r="O156" s="324">
        <f>SUMPRODUCT($E$55:$E$67*(O$72/$D$55)/4,O142:O154-P142:P154)</f>
        <v>0</v>
      </c>
      <c r="P156" s="324">
        <f t="shared" si="80"/>
        <v>0</v>
      </c>
      <c r="Q156" s="324">
        <f t="shared" si="80"/>
        <v>0</v>
      </c>
      <c r="R156" s="324">
        <f t="shared" si="80"/>
        <v>0</v>
      </c>
      <c r="S156" s="324">
        <f t="shared" si="80"/>
        <v>0</v>
      </c>
      <c r="T156" s="324">
        <f t="shared" si="80"/>
        <v>0</v>
      </c>
      <c r="U156" s="324">
        <f t="shared" si="80"/>
        <v>0</v>
      </c>
      <c r="V156" s="324">
        <f t="shared" si="80"/>
        <v>0</v>
      </c>
      <c r="W156" s="324">
        <f t="shared" si="80"/>
        <v>0</v>
      </c>
      <c r="X156" s="324">
        <f t="shared" si="80"/>
        <v>0</v>
      </c>
      <c r="Y156" s="324">
        <f t="shared" si="80"/>
        <v>0</v>
      </c>
      <c r="Z156" s="324">
        <f t="shared" si="80"/>
        <v>0</v>
      </c>
      <c r="AA156" s="324">
        <f t="shared" si="80"/>
        <v>0</v>
      </c>
      <c r="AB156" s="324">
        <f t="shared" si="80"/>
        <v>0</v>
      </c>
      <c r="AC156" s="325">
        <f>SUMPRODUCT($E$55:$E$67*(AC$72/$D$55)/4,AC142:AC154-E160:E172)</f>
        <v>0</v>
      </c>
    </row>
    <row r="157" spans="2:29" ht="12" thickBot="1">
      <c r="B157" s="315"/>
      <c r="C157" s="316"/>
      <c r="D157" s="317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</row>
    <row r="158" spans="2:29" ht="12.75">
      <c r="B158" s="454" t="str">
        <f>B140</f>
        <v>3.7.</v>
      </c>
      <c r="C158" s="455" t="str">
        <f>C122</f>
        <v>Počty zaměstnanců</v>
      </c>
      <c r="D158" s="460"/>
      <c r="E158" s="1004">
        <f aca="true" t="shared" si="81" ref="E158:AC158">E122</f>
        <v>2039</v>
      </c>
      <c r="F158" s="998">
        <f t="shared" si="81"/>
        <v>2040</v>
      </c>
      <c r="G158" s="998">
        <f t="shared" si="81"/>
        <v>2041</v>
      </c>
      <c r="H158" s="998">
        <f t="shared" si="81"/>
        <v>2042</v>
      </c>
      <c r="I158" s="998">
        <f t="shared" si="81"/>
        <v>2043</v>
      </c>
      <c r="J158" s="998">
        <f t="shared" si="81"/>
        <v>2044</v>
      </c>
      <c r="K158" s="998">
        <f t="shared" si="81"/>
        <v>2045</v>
      </c>
      <c r="L158" s="998">
        <f t="shared" si="81"/>
        <v>2046</v>
      </c>
      <c r="M158" s="998">
        <f t="shared" si="81"/>
        <v>2047</v>
      </c>
      <c r="N158" s="998">
        <f t="shared" si="81"/>
        <v>2048</v>
      </c>
      <c r="O158" s="998">
        <f t="shared" si="81"/>
        <v>2049</v>
      </c>
      <c r="P158" s="998">
        <f t="shared" si="81"/>
        <v>2050</v>
      </c>
      <c r="Q158" s="998">
        <f t="shared" si="81"/>
        <v>2051</v>
      </c>
      <c r="R158" s="998">
        <f t="shared" si="81"/>
        <v>2052</v>
      </c>
      <c r="S158" s="998">
        <f t="shared" si="81"/>
        <v>2053</v>
      </c>
      <c r="T158" s="998">
        <f t="shared" si="81"/>
        <v>2054</v>
      </c>
      <c r="U158" s="998">
        <f t="shared" si="81"/>
        <v>2055</v>
      </c>
      <c r="V158" s="998">
        <f t="shared" si="81"/>
        <v>2056</v>
      </c>
      <c r="W158" s="998">
        <f t="shared" si="81"/>
        <v>2057</v>
      </c>
      <c r="X158" s="998">
        <f t="shared" si="81"/>
        <v>2058</v>
      </c>
      <c r="Y158" s="998">
        <f t="shared" si="81"/>
        <v>2059</v>
      </c>
      <c r="Z158" s="998">
        <f t="shared" si="81"/>
        <v>2060</v>
      </c>
      <c r="AA158" s="998">
        <f t="shared" si="81"/>
        <v>2061</v>
      </c>
      <c r="AB158" s="998">
        <f t="shared" si="81"/>
        <v>2062</v>
      </c>
      <c r="AC158" s="1000">
        <f t="shared" si="81"/>
        <v>2063</v>
      </c>
    </row>
    <row r="159" spans="2:29" ht="13.5" thickBot="1">
      <c r="B159" s="457" t="s">
        <v>26</v>
      </c>
      <c r="C159" s="458" t="s">
        <v>100</v>
      </c>
      <c r="D159" s="461"/>
      <c r="E159" s="1005">
        <v>1</v>
      </c>
      <c r="F159" s="999">
        <v>2</v>
      </c>
      <c r="G159" s="999">
        <v>3</v>
      </c>
      <c r="H159" s="999">
        <v>4</v>
      </c>
      <c r="I159" s="999">
        <v>5</v>
      </c>
      <c r="J159" s="999">
        <v>6</v>
      </c>
      <c r="K159" s="999">
        <v>7</v>
      </c>
      <c r="L159" s="999">
        <v>8</v>
      </c>
      <c r="M159" s="999">
        <v>9</v>
      </c>
      <c r="N159" s="999">
        <v>10</v>
      </c>
      <c r="O159" s="999">
        <v>11</v>
      </c>
      <c r="P159" s="999">
        <v>12</v>
      </c>
      <c r="Q159" s="999">
        <v>13</v>
      </c>
      <c r="R159" s="999">
        <v>14</v>
      </c>
      <c r="S159" s="999">
        <v>15</v>
      </c>
      <c r="T159" s="999">
        <v>16</v>
      </c>
      <c r="U159" s="999">
        <v>17</v>
      </c>
      <c r="V159" s="999">
        <v>18</v>
      </c>
      <c r="W159" s="999">
        <v>19</v>
      </c>
      <c r="X159" s="999">
        <v>20</v>
      </c>
      <c r="Y159" s="999">
        <v>21</v>
      </c>
      <c r="Z159" s="999">
        <v>22</v>
      </c>
      <c r="AA159" s="999">
        <v>23</v>
      </c>
      <c r="AB159" s="999">
        <v>24</v>
      </c>
      <c r="AC159" s="1001">
        <v>25</v>
      </c>
    </row>
    <row r="160" spans="2:29" ht="12">
      <c r="B160" s="426">
        <f aca="true" t="shared" si="82" ref="B160:C172">B142</f>
        <v>13167</v>
      </c>
      <c r="C160" s="438" t="str">
        <f t="shared" si="82"/>
        <v>Dozorčí provozu</v>
      </c>
      <c r="D160" s="439"/>
      <c r="E160" s="320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1"/>
      <c r="AB160" s="321"/>
      <c r="AC160" s="322"/>
    </row>
    <row r="161" spans="2:29" ht="12">
      <c r="B161" s="426">
        <f t="shared" si="82"/>
        <v>31606</v>
      </c>
      <c r="C161" s="440" t="str">
        <f t="shared" si="82"/>
        <v>Výpravčí</v>
      </c>
      <c r="D161" s="441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1"/>
    </row>
    <row r="162" spans="2:29" ht="12">
      <c r="B162" s="426">
        <f t="shared" si="82"/>
        <v>31608</v>
      </c>
      <c r="C162" s="440" t="str">
        <f t="shared" si="82"/>
        <v>Dozorčí provozu - vedoucí směny</v>
      </c>
      <c r="D162" s="441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1"/>
    </row>
    <row r="163" spans="2:29" ht="12">
      <c r="B163" s="426">
        <f t="shared" si="82"/>
        <v>41333</v>
      </c>
      <c r="C163" s="440" t="str">
        <f t="shared" si="82"/>
        <v>Operátor železniční dopravy</v>
      </c>
      <c r="D163" s="441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1"/>
    </row>
    <row r="164" spans="2:29" ht="12">
      <c r="B164" s="426">
        <f t="shared" si="82"/>
        <v>83135</v>
      </c>
      <c r="C164" s="440" t="str">
        <f t="shared" si="82"/>
        <v>Signalista</v>
      </c>
      <c r="D164" s="441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</row>
    <row r="165" spans="2:29" ht="12">
      <c r="B165" s="426">
        <f t="shared" si="82"/>
        <v>83137</v>
      </c>
      <c r="C165" s="440" t="str">
        <f t="shared" si="82"/>
        <v>Výhybkář</v>
      </c>
      <c r="D165" s="441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2:29" ht="12">
      <c r="B166" s="426">
        <f t="shared" si="82"/>
        <v>83141</v>
      </c>
      <c r="C166" s="440" t="str">
        <f t="shared" si="82"/>
        <v>Staniční dozorce</v>
      </c>
      <c r="D166" s="441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1"/>
    </row>
    <row r="167" spans="2:29" ht="12">
      <c r="B167" s="426">
        <f t="shared" si="82"/>
        <v>83142</v>
      </c>
      <c r="C167" s="440" t="str">
        <f t="shared" si="82"/>
        <v>Dozorce výhybek</v>
      </c>
      <c r="D167" s="441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</row>
    <row r="168" spans="2:29" ht="12">
      <c r="B168" s="426">
        <f t="shared" si="82"/>
        <v>83143</v>
      </c>
      <c r="C168" s="440" t="str">
        <f t="shared" si="82"/>
        <v>Závorář</v>
      </c>
      <c r="D168" s="441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</row>
    <row r="169" spans="2:29" ht="12">
      <c r="B169" s="426">
        <f t="shared" si="82"/>
        <v>83144</v>
      </c>
      <c r="C169" s="442" t="str">
        <f t="shared" si="82"/>
        <v>Závorář s prodejem jízdenek</v>
      </c>
      <c r="D169" s="441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1"/>
    </row>
    <row r="170" spans="2:29" ht="12">
      <c r="B170" s="426">
        <f t="shared" si="82"/>
        <v>83145</v>
      </c>
      <c r="C170" s="443" t="str">
        <f t="shared" si="82"/>
        <v>Hradlář - hláskař</v>
      </c>
      <c r="D170" s="441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1"/>
    </row>
    <row r="171" spans="2:29" ht="12">
      <c r="B171" s="426">
        <f t="shared" si="82"/>
        <v>83146</v>
      </c>
      <c r="C171" s="443" t="str">
        <f t="shared" si="82"/>
        <v>Hradlář - hláskař s prodejem jízdenek</v>
      </c>
      <c r="D171" s="441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1"/>
    </row>
    <row r="172" spans="2:29" ht="12">
      <c r="B172" s="426">
        <f t="shared" si="82"/>
        <v>93398</v>
      </c>
      <c r="C172" s="452" t="str">
        <f t="shared" si="82"/>
        <v>Dělník v dopravě - staniční dělník</v>
      </c>
      <c r="D172" s="462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1"/>
    </row>
    <row r="173" spans="2:29" ht="12.75" thickBot="1">
      <c r="B173" s="445"/>
      <c r="C173" s="446" t="s">
        <v>83</v>
      </c>
      <c r="D173" s="453"/>
      <c r="E173" s="448">
        <f>SUM(E160:E172)</f>
        <v>0</v>
      </c>
      <c r="F173" s="449">
        <f aca="true" t="shared" si="83" ref="F173:AC173">SUM(F160:F172)</f>
        <v>0</v>
      </c>
      <c r="G173" s="449">
        <f t="shared" si="83"/>
        <v>0</v>
      </c>
      <c r="H173" s="449">
        <f t="shared" si="83"/>
        <v>0</v>
      </c>
      <c r="I173" s="449">
        <f t="shared" si="83"/>
        <v>0</v>
      </c>
      <c r="J173" s="449">
        <f t="shared" si="83"/>
        <v>0</v>
      </c>
      <c r="K173" s="449">
        <f t="shared" si="83"/>
        <v>0</v>
      </c>
      <c r="L173" s="449">
        <f t="shared" si="83"/>
        <v>0</v>
      </c>
      <c r="M173" s="449">
        <f t="shared" si="83"/>
        <v>0</v>
      </c>
      <c r="N173" s="449">
        <f t="shared" si="83"/>
        <v>0</v>
      </c>
      <c r="O173" s="449">
        <f t="shared" si="83"/>
        <v>0</v>
      </c>
      <c r="P173" s="449">
        <f t="shared" si="83"/>
        <v>0</v>
      </c>
      <c r="Q173" s="449">
        <f t="shared" si="83"/>
        <v>0</v>
      </c>
      <c r="R173" s="449">
        <f t="shared" si="83"/>
        <v>0</v>
      </c>
      <c r="S173" s="449">
        <f t="shared" si="83"/>
        <v>0</v>
      </c>
      <c r="T173" s="449">
        <f t="shared" si="83"/>
        <v>0</v>
      </c>
      <c r="U173" s="449">
        <f t="shared" si="83"/>
        <v>0</v>
      </c>
      <c r="V173" s="449">
        <f t="shared" si="83"/>
        <v>0</v>
      </c>
      <c r="W173" s="449">
        <f t="shared" si="83"/>
        <v>0</v>
      </c>
      <c r="X173" s="449">
        <f t="shared" si="83"/>
        <v>0</v>
      </c>
      <c r="Y173" s="449">
        <f t="shared" si="83"/>
        <v>0</v>
      </c>
      <c r="Z173" s="449">
        <f t="shared" si="83"/>
        <v>0</v>
      </c>
      <c r="AA173" s="449">
        <f t="shared" si="83"/>
        <v>0</v>
      </c>
      <c r="AB173" s="449">
        <f t="shared" si="83"/>
        <v>0</v>
      </c>
      <c r="AC173" s="450">
        <f t="shared" si="83"/>
        <v>0</v>
      </c>
    </row>
    <row r="174" spans="2:29" ht="12.75" thickBot="1">
      <c r="B174" s="445"/>
      <c r="C174" s="446" t="s">
        <v>288</v>
      </c>
      <c r="D174" s="447"/>
      <c r="E174" s="323">
        <f>SUMPRODUCT($E$55:$E$67*(E$89/$D$55)/4,E160:E172-F160:F172)</f>
        <v>0</v>
      </c>
      <c r="F174" s="324">
        <f aca="true" t="shared" si="84" ref="F174:AB174">SUMPRODUCT($E$55:$E$67*(F$89/$D$55)/4,F160:F172-G160:G172)</f>
        <v>0</v>
      </c>
      <c r="G174" s="324">
        <f t="shared" si="84"/>
        <v>0</v>
      </c>
      <c r="H174" s="324">
        <f t="shared" si="84"/>
        <v>0</v>
      </c>
      <c r="I174" s="324">
        <f t="shared" si="84"/>
        <v>0</v>
      </c>
      <c r="J174" s="324">
        <f t="shared" si="84"/>
        <v>0</v>
      </c>
      <c r="K174" s="324">
        <f t="shared" si="84"/>
        <v>0</v>
      </c>
      <c r="L174" s="324">
        <f t="shared" si="84"/>
        <v>0</v>
      </c>
      <c r="M174" s="324">
        <f t="shared" si="84"/>
        <v>0</v>
      </c>
      <c r="N174" s="324">
        <f t="shared" si="84"/>
        <v>0</v>
      </c>
      <c r="O174" s="324">
        <f t="shared" si="84"/>
        <v>0</v>
      </c>
      <c r="P174" s="324">
        <f t="shared" si="84"/>
        <v>0</v>
      </c>
      <c r="Q174" s="324">
        <f t="shared" si="84"/>
        <v>0</v>
      </c>
      <c r="R174" s="324">
        <f t="shared" si="84"/>
        <v>0</v>
      </c>
      <c r="S174" s="324">
        <f t="shared" si="84"/>
        <v>0</v>
      </c>
      <c r="T174" s="324">
        <f t="shared" si="84"/>
        <v>0</v>
      </c>
      <c r="U174" s="324">
        <f t="shared" si="84"/>
        <v>0</v>
      </c>
      <c r="V174" s="324">
        <f t="shared" si="84"/>
        <v>0</v>
      </c>
      <c r="W174" s="324">
        <f t="shared" si="84"/>
        <v>0</v>
      </c>
      <c r="X174" s="324">
        <f t="shared" si="84"/>
        <v>0</v>
      </c>
      <c r="Y174" s="324">
        <f t="shared" si="84"/>
        <v>0</v>
      </c>
      <c r="Z174" s="324">
        <f t="shared" si="84"/>
        <v>0</v>
      </c>
      <c r="AA174" s="324">
        <f t="shared" si="84"/>
        <v>0</v>
      </c>
      <c r="AB174" s="324">
        <f t="shared" si="84"/>
        <v>0</v>
      </c>
      <c r="AC174" s="325">
        <v>0</v>
      </c>
    </row>
    <row r="175" spans="2:29" ht="12.75">
      <c r="B175" s="330"/>
      <c r="C175" s="310"/>
      <c r="D175" s="309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09"/>
      <c r="S175" s="309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</row>
    <row r="176" ht="12" thickBot="1"/>
    <row r="177" spans="2:16" ht="11.25">
      <c r="B177" s="956" t="s">
        <v>77</v>
      </c>
      <c r="C177" s="957"/>
      <c r="D177" s="957"/>
      <c r="E177" s="957"/>
      <c r="F177" s="957"/>
      <c r="G177" s="957"/>
      <c r="H177" s="957"/>
      <c r="I177" s="957"/>
      <c r="J177" s="957"/>
      <c r="K177" s="957"/>
      <c r="L177" s="957"/>
      <c r="M177" s="957"/>
      <c r="N177" s="957"/>
      <c r="O177" s="957"/>
      <c r="P177" s="958"/>
    </row>
    <row r="178" spans="2:16" ht="12" thickBot="1">
      <c r="B178" s="959"/>
      <c r="C178" s="960"/>
      <c r="D178" s="960"/>
      <c r="E178" s="960"/>
      <c r="F178" s="960"/>
      <c r="G178" s="960"/>
      <c r="H178" s="960"/>
      <c r="I178" s="960"/>
      <c r="J178" s="960"/>
      <c r="K178" s="960"/>
      <c r="L178" s="960"/>
      <c r="M178" s="960"/>
      <c r="N178" s="960"/>
      <c r="O178" s="960"/>
      <c r="P178" s="961"/>
    </row>
    <row r="179" spans="2:16" ht="12.75">
      <c r="B179" s="170" t="s">
        <v>290</v>
      </c>
      <c r="C179" s="171"/>
      <c r="D179" s="172"/>
      <c r="E179" s="172"/>
      <c r="F179" s="172"/>
      <c r="G179" s="173"/>
      <c r="H179" s="174"/>
      <c r="I179" s="174"/>
      <c r="J179" s="174"/>
      <c r="K179" s="174"/>
      <c r="L179" s="174"/>
      <c r="M179" s="174"/>
      <c r="N179" s="174"/>
      <c r="O179" s="174"/>
      <c r="P179" s="175"/>
    </row>
    <row r="180" spans="2:16" ht="13.5" thickBot="1">
      <c r="B180" s="463" t="s">
        <v>289</v>
      </c>
      <c r="C180" s="464"/>
      <c r="D180" s="177"/>
      <c r="E180" s="177"/>
      <c r="F180" s="177"/>
      <c r="G180" s="178"/>
      <c r="H180" s="177"/>
      <c r="I180" s="177"/>
      <c r="J180" s="177"/>
      <c r="K180" s="177"/>
      <c r="L180" s="177"/>
      <c r="M180" s="177"/>
      <c r="N180" s="177"/>
      <c r="O180" s="177"/>
      <c r="P180" s="179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302">
    <mergeCell ref="E122:E123"/>
    <mergeCell ref="F122:F123"/>
    <mergeCell ref="G122:G123"/>
    <mergeCell ref="E104:E105"/>
    <mergeCell ref="F104:F105"/>
    <mergeCell ref="H158:H159"/>
    <mergeCell ref="E140:E141"/>
    <mergeCell ref="F140:F141"/>
    <mergeCell ref="G140:G141"/>
    <mergeCell ref="H140:H141"/>
    <mergeCell ref="M158:M159"/>
    <mergeCell ref="N158:N159"/>
    <mergeCell ref="R140:R141"/>
    <mergeCell ref="Q122:Q123"/>
    <mergeCell ref="B177:P178"/>
    <mergeCell ref="R86:R87"/>
    <mergeCell ref="P86:P87"/>
    <mergeCell ref="R69:R70"/>
    <mergeCell ref="F69:F70"/>
    <mergeCell ref="E158:E159"/>
    <mergeCell ref="F158:F159"/>
    <mergeCell ref="G158:G159"/>
    <mergeCell ref="I69:I70"/>
    <mergeCell ref="M86:M87"/>
    <mergeCell ref="O69:O70"/>
    <mergeCell ref="P69:P70"/>
    <mergeCell ref="Q86:Q87"/>
    <mergeCell ref="T86:T87"/>
    <mergeCell ref="AC69:AC70"/>
    <mergeCell ref="E86:E87"/>
    <mergeCell ref="F86:F87"/>
    <mergeCell ref="G86:G87"/>
    <mergeCell ref="H86:H87"/>
    <mergeCell ref="AC86:AC87"/>
    <mergeCell ref="E69:E70"/>
    <mergeCell ref="K69:K70"/>
    <mergeCell ref="L69:L70"/>
    <mergeCell ref="I86:I87"/>
    <mergeCell ref="O86:O87"/>
    <mergeCell ref="I104:I105"/>
    <mergeCell ref="J104:J105"/>
    <mergeCell ref="K104:K105"/>
    <mergeCell ref="L104:L105"/>
    <mergeCell ref="L86:L87"/>
    <mergeCell ref="Q69:Q70"/>
    <mergeCell ref="P104:P105"/>
    <mergeCell ref="H69:H70"/>
    <mergeCell ref="N86:N87"/>
    <mergeCell ref="M69:M70"/>
    <mergeCell ref="N69:N70"/>
    <mergeCell ref="J69:J70"/>
    <mergeCell ref="J86:J87"/>
    <mergeCell ref="K86:K87"/>
    <mergeCell ref="H104:H105"/>
    <mergeCell ref="W158:W159"/>
    <mergeCell ref="Y140:Y141"/>
    <mergeCell ref="S104:S105"/>
    <mergeCell ref="S69:S70"/>
    <mergeCell ref="S86:S87"/>
    <mergeCell ref="U86:U87"/>
    <mergeCell ref="Y158:Y159"/>
    <mergeCell ref="X158:X159"/>
    <mergeCell ref="Z140:Z141"/>
    <mergeCell ref="AA140:AA141"/>
    <mergeCell ref="X140:X141"/>
    <mergeCell ref="U122:U123"/>
    <mergeCell ref="V158:V159"/>
    <mergeCell ref="U158:U159"/>
    <mergeCell ref="U140:U141"/>
    <mergeCell ref="V122:V123"/>
    <mergeCell ref="V140:V141"/>
    <mergeCell ref="AC158:AC159"/>
    <mergeCell ref="Z158:Z159"/>
    <mergeCell ref="AA158:AA159"/>
    <mergeCell ref="AC140:AC141"/>
    <mergeCell ref="AB158:AB159"/>
    <mergeCell ref="AB140:AB141"/>
    <mergeCell ref="L140:L141"/>
    <mergeCell ref="I140:I141"/>
    <mergeCell ref="T122:T123"/>
    <mergeCell ref="J122:J123"/>
    <mergeCell ref="R122:R123"/>
    <mergeCell ref="S140:S141"/>
    <mergeCell ref="P140:P141"/>
    <mergeCell ref="S122:S123"/>
    <mergeCell ref="O158:O159"/>
    <mergeCell ref="J140:J141"/>
    <mergeCell ref="K140:K141"/>
    <mergeCell ref="W122:W123"/>
    <mergeCell ref="P158:P159"/>
    <mergeCell ref="Q158:Q159"/>
    <mergeCell ref="R158:R159"/>
    <mergeCell ref="T158:T159"/>
    <mergeCell ref="Q140:Q141"/>
    <mergeCell ref="T140:T141"/>
    <mergeCell ref="S158:S159"/>
    <mergeCell ref="I158:I159"/>
    <mergeCell ref="J158:J159"/>
    <mergeCell ref="K158:K159"/>
    <mergeCell ref="L158:L159"/>
    <mergeCell ref="AA39:AA40"/>
    <mergeCell ref="Z69:Z70"/>
    <mergeCell ref="AB69:AB70"/>
    <mergeCell ref="W140:W141"/>
    <mergeCell ref="X86:X87"/>
    <mergeCell ref="X122:X123"/>
    <mergeCell ref="Y122:Y123"/>
    <mergeCell ref="AB122:AB123"/>
    <mergeCell ref="Z122:Z123"/>
    <mergeCell ref="N122:N123"/>
    <mergeCell ref="M122:M123"/>
    <mergeCell ref="AC39:AC40"/>
    <mergeCell ref="V86:V87"/>
    <mergeCell ref="W104:W105"/>
    <mergeCell ref="X104:X105"/>
    <mergeCell ref="Y104:Y105"/>
    <mergeCell ref="Y86:Y87"/>
    <mergeCell ref="V104:V105"/>
    <mergeCell ref="W86:W87"/>
    <mergeCell ref="N104:N105"/>
    <mergeCell ref="O104:O105"/>
    <mergeCell ref="Q104:Q105"/>
    <mergeCell ref="R104:R105"/>
    <mergeCell ref="AC104:AC105"/>
    <mergeCell ref="AA122:AA123"/>
    <mergeCell ref="U104:U105"/>
    <mergeCell ref="M140:M141"/>
    <mergeCell ref="N140:N141"/>
    <mergeCell ref="O140:O141"/>
    <mergeCell ref="P122:P123"/>
    <mergeCell ref="O122:O123"/>
    <mergeCell ref="T104:T105"/>
    <mergeCell ref="M104:M105"/>
    <mergeCell ref="X69:X70"/>
    <mergeCell ref="U32:U33"/>
    <mergeCell ref="T39:T40"/>
    <mergeCell ref="AC122:AC123"/>
    <mergeCell ref="AB86:AB87"/>
    <mergeCell ref="AA104:AA105"/>
    <mergeCell ref="Z104:Z105"/>
    <mergeCell ref="AB104:AB105"/>
    <mergeCell ref="Z86:Z87"/>
    <mergeCell ref="AA86:AA87"/>
    <mergeCell ref="U39:U40"/>
    <mergeCell ref="V39:V40"/>
    <mergeCell ref="W39:W40"/>
    <mergeCell ref="X39:X40"/>
    <mergeCell ref="T69:T70"/>
    <mergeCell ref="U69:U70"/>
    <mergeCell ref="V69:V70"/>
    <mergeCell ref="W69:W70"/>
    <mergeCell ref="U24:U25"/>
    <mergeCell ref="V24:V25"/>
    <mergeCell ref="AB32:AB33"/>
    <mergeCell ref="AA69:AA70"/>
    <mergeCell ref="Z39:Z40"/>
    <mergeCell ref="AB39:AB40"/>
    <mergeCell ref="Y69:Y70"/>
    <mergeCell ref="Y39:Y40"/>
    <mergeCell ref="Z32:Z33"/>
    <mergeCell ref="AA32:AA33"/>
    <mergeCell ref="W32:W33"/>
    <mergeCell ref="X32:X33"/>
    <mergeCell ref="W24:W25"/>
    <mergeCell ref="AB2:AB3"/>
    <mergeCell ref="AA9:AA10"/>
    <mergeCell ref="AC32:AC33"/>
    <mergeCell ref="Y32:Y33"/>
    <mergeCell ref="AB17:AB18"/>
    <mergeCell ref="AC17:AC18"/>
    <mergeCell ref="Z24:Z25"/>
    <mergeCell ref="AA24:AA25"/>
    <mergeCell ref="AA17:AA18"/>
    <mergeCell ref="Y24:Y25"/>
    <mergeCell ref="AC24:AC25"/>
    <mergeCell ref="Y17:Y18"/>
    <mergeCell ref="Z17:Z18"/>
    <mergeCell ref="W2:W3"/>
    <mergeCell ref="AB9:AB10"/>
    <mergeCell ref="AC9:AC10"/>
    <mergeCell ref="Y2:Y3"/>
    <mergeCell ref="Z2:Z3"/>
    <mergeCell ref="AC2:AC3"/>
    <mergeCell ref="W17:W18"/>
    <mergeCell ref="Z9:Z10"/>
    <mergeCell ref="S39:S40"/>
    <mergeCell ref="T32:T33"/>
    <mergeCell ref="AB24:AB25"/>
    <mergeCell ref="U17:U18"/>
    <mergeCell ref="V17:V18"/>
    <mergeCell ref="X17:X18"/>
    <mergeCell ref="S32:S33"/>
    <mergeCell ref="X24:X25"/>
    <mergeCell ref="V32:V33"/>
    <mergeCell ref="S9:S10"/>
    <mergeCell ref="J2:J3"/>
    <mergeCell ref="K2:K3"/>
    <mergeCell ref="L2:L3"/>
    <mergeCell ref="J9:J10"/>
    <mergeCell ref="S2:S3"/>
    <mergeCell ref="R2:R3"/>
    <mergeCell ref="R9:R10"/>
    <mergeCell ref="O2:O3"/>
    <mergeCell ref="P2:P3"/>
    <mergeCell ref="X2:X3"/>
    <mergeCell ref="U9:U10"/>
    <mergeCell ref="AA2:AA3"/>
    <mergeCell ref="T2:T3"/>
    <mergeCell ref="U2:U3"/>
    <mergeCell ref="V2:V3"/>
    <mergeCell ref="V9:V10"/>
    <mergeCell ref="W9:W10"/>
    <mergeCell ref="X9:X10"/>
    <mergeCell ref="Y9:Y10"/>
    <mergeCell ref="E2:E3"/>
    <mergeCell ref="F2:F3"/>
    <mergeCell ref="G24:G25"/>
    <mergeCell ref="E32:E33"/>
    <mergeCell ref="G32:G33"/>
    <mergeCell ref="E9:E10"/>
    <mergeCell ref="G17:G18"/>
    <mergeCell ref="F9:F10"/>
    <mergeCell ref="G2:G3"/>
    <mergeCell ref="G9:G10"/>
    <mergeCell ref="M2:M3"/>
    <mergeCell ref="L39:L40"/>
    <mergeCell ref="M39:M40"/>
    <mergeCell ref="M9:M10"/>
    <mergeCell ref="G104:G105"/>
    <mergeCell ref="G69:G70"/>
    <mergeCell ref="E17:E18"/>
    <mergeCell ref="F24:F25"/>
    <mergeCell ref="E39:E40"/>
    <mergeCell ref="F39:F40"/>
    <mergeCell ref="F32:F33"/>
    <mergeCell ref="F17:F18"/>
    <mergeCell ref="G39:G40"/>
    <mergeCell ref="E24:E25"/>
    <mergeCell ref="Q9:Q10"/>
    <mergeCell ref="Q17:Q18"/>
    <mergeCell ref="N2:N3"/>
    <mergeCell ref="Q39:Q40"/>
    <mergeCell ref="N9:N10"/>
    <mergeCell ref="N39:N40"/>
    <mergeCell ref="Q2:Q3"/>
    <mergeCell ref="K17:K18"/>
    <mergeCell ref="K39:K40"/>
    <mergeCell ref="O39:O40"/>
    <mergeCell ref="P39:P40"/>
    <mergeCell ref="L24:L25"/>
    <mergeCell ref="M24:M25"/>
    <mergeCell ref="N24:N25"/>
    <mergeCell ref="L122:L123"/>
    <mergeCell ref="H9:H10"/>
    <mergeCell ref="J39:J40"/>
    <mergeCell ref="K24:K25"/>
    <mergeCell ref="I32:I33"/>
    <mergeCell ref="H17:H18"/>
    <mergeCell ref="H32:H33"/>
    <mergeCell ref="I39:I40"/>
    <mergeCell ref="K32:K33"/>
    <mergeCell ref="J32:J33"/>
    <mergeCell ref="H122:H123"/>
    <mergeCell ref="I122:I123"/>
    <mergeCell ref="I2:I3"/>
    <mergeCell ref="K122:K123"/>
    <mergeCell ref="H2:H3"/>
    <mergeCell ref="K9:K10"/>
    <mergeCell ref="J24:J25"/>
    <mergeCell ref="I9:I10"/>
    <mergeCell ref="I17:I18"/>
    <mergeCell ref="J17:J18"/>
    <mergeCell ref="T9:T10"/>
    <mergeCell ref="R17:R18"/>
    <mergeCell ref="M17:M18"/>
    <mergeCell ref="L32:L33"/>
    <mergeCell ref="L17:L18"/>
    <mergeCell ref="M32:M33"/>
    <mergeCell ref="Q32:Q33"/>
    <mergeCell ref="R32:R33"/>
    <mergeCell ref="P17:P18"/>
    <mergeCell ref="O24:O25"/>
    <mergeCell ref="T24:T25"/>
    <mergeCell ref="T17:T18"/>
    <mergeCell ref="S17:S18"/>
    <mergeCell ref="R24:R25"/>
    <mergeCell ref="S24:S25"/>
    <mergeCell ref="R39:R40"/>
    <mergeCell ref="P24:P25"/>
    <mergeCell ref="L9:L10"/>
    <mergeCell ref="N32:N33"/>
    <mergeCell ref="O32:O33"/>
    <mergeCell ref="N17:N18"/>
    <mergeCell ref="P9:P10"/>
    <mergeCell ref="O9:O10"/>
    <mergeCell ref="O17:O18"/>
    <mergeCell ref="Q24:Q25"/>
    <mergeCell ref="B52:B54"/>
    <mergeCell ref="H24:H25"/>
    <mergeCell ref="P32:P33"/>
    <mergeCell ref="I24:I25"/>
    <mergeCell ref="H39:H40"/>
  </mergeCells>
  <printOptions/>
  <pageMargins left="0.3937007874015748" right="0.35433070866141736" top="0.984251968503937" bottom="0.7874015748031497" header="0.3937007874015748" footer="0.3937007874015748"/>
  <pageSetup fitToHeight="0" fitToWidth="1" horizontalDpi="600" verticalDpi="600" orientation="landscape" paperSize="9" scale="44" r:id="rId3"/>
  <headerFooter alignWithMargins="0">
    <oddFooter>&amp;L&amp;A&amp;C15.9.2010</oddFooter>
  </headerFooter>
  <ignoredErrors>
    <ignoredError sqref="E35:AC37 D7:H10 D6 D14:H18 D13 E22:H22 D20 D19 D12 D11 E120:AC154 E173:AC173 E156:AB156" unlockedFormula="1"/>
    <ignoredError sqref="D157:D172 D173 D23:D34 D48:D49" evalError="1"/>
    <ignoredError sqref="D21 D22 D35:D37 E155:AC155 E157:AC172" evalError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I12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283" customWidth="1"/>
    <col min="2" max="2" width="5.7109375" style="283" customWidth="1"/>
    <col min="3" max="3" width="42.28125" style="283" customWidth="1"/>
    <col min="4" max="4" width="12.7109375" style="283" customWidth="1"/>
    <col min="5" max="7" width="10.7109375" style="283" customWidth="1"/>
    <col min="8" max="8" width="11.57421875" style="283" customWidth="1"/>
    <col min="9" max="19" width="10.7109375" style="283" customWidth="1"/>
    <col min="20" max="29" width="10.8515625" style="283" customWidth="1"/>
    <col min="30" max="35" width="8.7109375" style="283" bestFit="1" customWidth="1"/>
    <col min="36" max="16384" width="9.140625" style="283" customWidth="1"/>
  </cols>
  <sheetData>
    <row r="1" spans="1:5" ht="12" thickBot="1">
      <c r="A1" s="285"/>
      <c r="E1" s="284"/>
    </row>
    <row r="2" spans="1:29" ht="12.75" customHeight="1">
      <c r="A2" s="285"/>
      <c r="B2" s="108" t="s">
        <v>29</v>
      </c>
      <c r="C2" s="109" t="s">
        <v>178</v>
      </c>
      <c r="D2" s="110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1:29" ht="13.5" thickBot="1">
      <c r="A3" s="285"/>
      <c r="B3" s="333" t="s">
        <v>25</v>
      </c>
      <c r="C3" s="334" t="s">
        <v>95</v>
      </c>
      <c r="D3" s="335" t="s">
        <v>83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93"/>
    </row>
    <row r="4" spans="1:29" ht="12">
      <c r="A4" s="199"/>
      <c r="B4" s="339"/>
      <c r="C4" s="342" t="s">
        <v>291</v>
      </c>
      <c r="D4" s="341">
        <f>SUM(E4:AC4,E11:AC11)</f>
        <v>0</v>
      </c>
      <c r="E4" s="384">
        <f>E61*$E$54+E62*$F$54+E63*$G$54+(E64*$E$55+E65*$F$55+E66*$G$55)/1000</f>
        <v>0</v>
      </c>
      <c r="F4" s="385">
        <f aca="true" t="shared" si="2" ref="F4:AC4">F61*$E$54+F62*$F$54+F63*$G$54+(F64*$E$55+F65*$F$55+F66*$G$55)/1000</f>
        <v>0</v>
      </c>
      <c r="G4" s="385">
        <f t="shared" si="2"/>
        <v>0</v>
      </c>
      <c r="H4" s="385">
        <f t="shared" si="2"/>
        <v>0</v>
      </c>
      <c r="I4" s="385">
        <f t="shared" si="2"/>
        <v>0</v>
      </c>
      <c r="J4" s="385">
        <f t="shared" si="2"/>
        <v>0</v>
      </c>
      <c r="K4" s="385">
        <f t="shared" si="2"/>
        <v>0</v>
      </c>
      <c r="L4" s="385">
        <f t="shared" si="2"/>
        <v>0</v>
      </c>
      <c r="M4" s="385">
        <f t="shared" si="2"/>
        <v>0</v>
      </c>
      <c r="N4" s="385">
        <f t="shared" si="2"/>
        <v>0</v>
      </c>
      <c r="O4" s="385">
        <f t="shared" si="2"/>
        <v>0</v>
      </c>
      <c r="P4" s="385">
        <f t="shared" si="2"/>
        <v>0</v>
      </c>
      <c r="Q4" s="385">
        <f t="shared" si="2"/>
        <v>0</v>
      </c>
      <c r="R4" s="385">
        <f t="shared" si="2"/>
        <v>0</v>
      </c>
      <c r="S4" s="385">
        <f t="shared" si="2"/>
        <v>0</v>
      </c>
      <c r="T4" s="385">
        <f t="shared" si="2"/>
        <v>0</v>
      </c>
      <c r="U4" s="385">
        <f t="shared" si="2"/>
        <v>0</v>
      </c>
      <c r="V4" s="385">
        <f t="shared" si="2"/>
        <v>0</v>
      </c>
      <c r="W4" s="385">
        <f t="shared" si="2"/>
        <v>0</v>
      </c>
      <c r="X4" s="385">
        <f t="shared" si="2"/>
        <v>0</v>
      </c>
      <c r="Y4" s="385">
        <f t="shared" si="2"/>
        <v>0</v>
      </c>
      <c r="Z4" s="385">
        <f t="shared" si="2"/>
        <v>0</v>
      </c>
      <c r="AA4" s="385">
        <f t="shared" si="2"/>
        <v>0</v>
      </c>
      <c r="AB4" s="385">
        <f t="shared" si="2"/>
        <v>0</v>
      </c>
      <c r="AC4" s="386">
        <f t="shared" si="2"/>
        <v>0</v>
      </c>
    </row>
    <row r="5" spans="1:29" ht="12">
      <c r="A5" s="199"/>
      <c r="B5" s="339"/>
      <c r="C5" s="342" t="s">
        <v>292</v>
      </c>
      <c r="D5" s="341">
        <f>SUM(E5:AC5,E12:AC12)</f>
        <v>0</v>
      </c>
      <c r="E5" s="387">
        <f>$H$54*E67+$I$54*E68+$J$54*E69+($H$55*E70+$I$55*E71+$J$55*E72)/1000</f>
        <v>0</v>
      </c>
      <c r="F5" s="388">
        <f aca="true" t="shared" si="3" ref="F5:AC5">$H$54*F67+$I$54*F68+$J$54*F69+($H$55*F70+$I$55*F71+$J$55*F72)/1000</f>
        <v>0</v>
      </c>
      <c r="G5" s="388">
        <f t="shared" si="3"/>
        <v>0</v>
      </c>
      <c r="H5" s="388">
        <f t="shared" si="3"/>
        <v>0</v>
      </c>
      <c r="I5" s="388">
        <f t="shared" si="3"/>
        <v>0</v>
      </c>
      <c r="J5" s="388">
        <f t="shared" si="3"/>
        <v>0</v>
      </c>
      <c r="K5" s="388">
        <f t="shared" si="3"/>
        <v>0</v>
      </c>
      <c r="L5" s="388">
        <f t="shared" si="3"/>
        <v>0</v>
      </c>
      <c r="M5" s="388">
        <f t="shared" si="3"/>
        <v>0</v>
      </c>
      <c r="N5" s="388">
        <f t="shared" si="3"/>
        <v>0</v>
      </c>
      <c r="O5" s="388">
        <f t="shared" si="3"/>
        <v>0</v>
      </c>
      <c r="P5" s="388">
        <f t="shared" si="3"/>
        <v>0</v>
      </c>
      <c r="Q5" s="388">
        <f t="shared" si="3"/>
        <v>0</v>
      </c>
      <c r="R5" s="388">
        <f t="shared" si="3"/>
        <v>0</v>
      </c>
      <c r="S5" s="388">
        <f t="shared" si="3"/>
        <v>0</v>
      </c>
      <c r="T5" s="388">
        <f t="shared" si="3"/>
        <v>0</v>
      </c>
      <c r="U5" s="388">
        <f t="shared" si="3"/>
        <v>0</v>
      </c>
      <c r="V5" s="388">
        <f t="shared" si="3"/>
        <v>0</v>
      </c>
      <c r="W5" s="388">
        <f t="shared" si="3"/>
        <v>0</v>
      </c>
      <c r="X5" s="388">
        <f t="shared" si="3"/>
        <v>0</v>
      </c>
      <c r="Y5" s="388">
        <f t="shared" si="3"/>
        <v>0</v>
      </c>
      <c r="Z5" s="388">
        <f t="shared" si="3"/>
        <v>0</v>
      </c>
      <c r="AA5" s="388">
        <f t="shared" si="3"/>
        <v>0</v>
      </c>
      <c r="AB5" s="388">
        <f t="shared" si="3"/>
        <v>0</v>
      </c>
      <c r="AC5" s="389">
        <f t="shared" si="3"/>
        <v>0</v>
      </c>
    </row>
    <row r="6" spans="1:29" ht="12.75" thickBot="1">
      <c r="A6" s="199"/>
      <c r="B6" s="339"/>
      <c r="C6" s="479" t="s">
        <v>179</v>
      </c>
      <c r="D6" s="341">
        <f>SUM(E6:AC6,E13:AC13)</f>
        <v>0</v>
      </c>
      <c r="E6" s="5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.75" thickBot="1">
      <c r="A7" s="285"/>
      <c r="B7" s="480"/>
      <c r="C7" s="481" t="s">
        <v>178</v>
      </c>
      <c r="D7" s="482">
        <f>SUM(E7:AC7,E14:AC14)</f>
        <v>0</v>
      </c>
      <c r="E7" s="483">
        <f>SUM(E4:E6)</f>
        <v>0</v>
      </c>
      <c r="F7" s="484">
        <f aca="true" t="shared" si="4" ref="F7:AC7">SUM(F4:F6)</f>
        <v>0</v>
      </c>
      <c r="G7" s="484">
        <f t="shared" si="4"/>
        <v>0</v>
      </c>
      <c r="H7" s="484">
        <f t="shared" si="4"/>
        <v>0</v>
      </c>
      <c r="I7" s="484">
        <f t="shared" si="4"/>
        <v>0</v>
      </c>
      <c r="J7" s="484">
        <f t="shared" si="4"/>
        <v>0</v>
      </c>
      <c r="K7" s="484">
        <f t="shared" si="4"/>
        <v>0</v>
      </c>
      <c r="L7" s="484">
        <f t="shared" si="4"/>
        <v>0</v>
      </c>
      <c r="M7" s="484">
        <f t="shared" si="4"/>
        <v>0</v>
      </c>
      <c r="N7" s="484">
        <f t="shared" si="4"/>
        <v>0</v>
      </c>
      <c r="O7" s="484">
        <f t="shared" si="4"/>
        <v>0</v>
      </c>
      <c r="P7" s="484">
        <f t="shared" si="4"/>
        <v>0</v>
      </c>
      <c r="Q7" s="484">
        <f t="shared" si="4"/>
        <v>0</v>
      </c>
      <c r="R7" s="484">
        <f t="shared" si="4"/>
        <v>0</v>
      </c>
      <c r="S7" s="484">
        <f t="shared" si="4"/>
        <v>0</v>
      </c>
      <c r="T7" s="484">
        <f t="shared" si="4"/>
        <v>0</v>
      </c>
      <c r="U7" s="484">
        <f t="shared" si="4"/>
        <v>0</v>
      </c>
      <c r="V7" s="484">
        <f t="shared" si="4"/>
        <v>0</v>
      </c>
      <c r="W7" s="484">
        <f t="shared" si="4"/>
        <v>0</v>
      </c>
      <c r="X7" s="484">
        <f t="shared" si="4"/>
        <v>0</v>
      </c>
      <c r="Y7" s="484">
        <f t="shared" si="4"/>
        <v>0</v>
      </c>
      <c r="Z7" s="484">
        <f t="shared" si="4"/>
        <v>0</v>
      </c>
      <c r="AA7" s="484">
        <f t="shared" si="4"/>
        <v>0</v>
      </c>
      <c r="AB7" s="484">
        <f t="shared" si="4"/>
        <v>0</v>
      </c>
      <c r="AC7" s="485">
        <f t="shared" si="4"/>
        <v>0</v>
      </c>
    </row>
    <row r="8" spans="1:29" ht="12" thickBot="1">
      <c r="A8" s="285"/>
      <c r="B8" s="289"/>
      <c r="C8" s="285"/>
      <c r="D8" s="465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</row>
    <row r="9" spans="1:29" ht="12.75">
      <c r="A9" s="285"/>
      <c r="B9" s="108" t="s">
        <v>29</v>
      </c>
      <c r="C9" s="109" t="s">
        <v>178</v>
      </c>
      <c r="D9" s="110"/>
      <c r="E9" s="988">
        <f>AC2+1</f>
        <v>2039</v>
      </c>
      <c r="F9" s="980">
        <f aca="true" t="shared" si="5" ref="F9:S9">E9+1</f>
        <v>2040</v>
      </c>
      <c r="G9" s="980">
        <f t="shared" si="5"/>
        <v>2041</v>
      </c>
      <c r="H9" s="980">
        <f t="shared" si="5"/>
        <v>2042</v>
      </c>
      <c r="I9" s="980">
        <f t="shared" si="5"/>
        <v>2043</v>
      </c>
      <c r="J9" s="980">
        <f t="shared" si="5"/>
        <v>2044</v>
      </c>
      <c r="K9" s="980">
        <f t="shared" si="5"/>
        <v>2045</v>
      </c>
      <c r="L9" s="980">
        <f t="shared" si="5"/>
        <v>2046</v>
      </c>
      <c r="M9" s="980">
        <f t="shared" si="5"/>
        <v>2047</v>
      </c>
      <c r="N9" s="980">
        <f t="shared" si="5"/>
        <v>2048</v>
      </c>
      <c r="O9" s="980">
        <f t="shared" si="5"/>
        <v>2049</v>
      </c>
      <c r="P9" s="980">
        <f t="shared" si="5"/>
        <v>2050</v>
      </c>
      <c r="Q9" s="980">
        <f t="shared" si="5"/>
        <v>2051</v>
      </c>
      <c r="R9" s="980">
        <f t="shared" si="5"/>
        <v>2052</v>
      </c>
      <c r="S9" s="980">
        <f t="shared" si="5"/>
        <v>2053</v>
      </c>
      <c r="T9" s="980">
        <f aca="true" t="shared" si="6" ref="T9:AC9">S9+1</f>
        <v>2054</v>
      </c>
      <c r="U9" s="980">
        <f t="shared" si="6"/>
        <v>2055</v>
      </c>
      <c r="V9" s="980">
        <f t="shared" si="6"/>
        <v>2056</v>
      </c>
      <c r="W9" s="980">
        <f t="shared" si="6"/>
        <v>2057</v>
      </c>
      <c r="X9" s="980">
        <f t="shared" si="6"/>
        <v>2058</v>
      </c>
      <c r="Y9" s="980">
        <f t="shared" si="6"/>
        <v>2059</v>
      </c>
      <c r="Z9" s="980">
        <f t="shared" si="6"/>
        <v>2060</v>
      </c>
      <c r="AA9" s="980">
        <f t="shared" si="6"/>
        <v>2061</v>
      </c>
      <c r="AB9" s="980">
        <f t="shared" si="6"/>
        <v>2062</v>
      </c>
      <c r="AC9" s="992">
        <f t="shared" si="6"/>
        <v>2063</v>
      </c>
    </row>
    <row r="10" spans="2:35" s="285" customFormat="1" ht="13.5" thickBot="1">
      <c r="B10" s="333" t="s">
        <v>26</v>
      </c>
      <c r="C10" s="334" t="s">
        <v>95</v>
      </c>
      <c r="D10" s="486"/>
      <c r="E10" s="1011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968"/>
      <c r="AD10" s="283"/>
      <c r="AE10" s="283"/>
      <c r="AF10" s="283"/>
      <c r="AG10" s="283"/>
      <c r="AH10" s="283"/>
      <c r="AI10" s="283"/>
    </row>
    <row r="11" spans="2:35" s="285" customFormat="1" ht="12">
      <c r="B11" s="354"/>
      <c r="C11" s="342" t="s">
        <v>291</v>
      </c>
      <c r="D11" s="487"/>
      <c r="E11" s="384">
        <f>E77*$E$54+E78*$F$54+E79*$G$54+(E80*$E$55+E81*$F$55+E82*$G$55)/1000</f>
        <v>0</v>
      </c>
      <c r="F11" s="385">
        <f aca="true" t="shared" si="7" ref="F11:AC11">F77*$E$54+F78*$F$54+F79*$G$54+(F80*$E$55+F81*$F$55+F82*$G$55)/1000</f>
        <v>0</v>
      </c>
      <c r="G11" s="385">
        <f t="shared" si="7"/>
        <v>0</v>
      </c>
      <c r="H11" s="385">
        <f t="shared" si="7"/>
        <v>0</v>
      </c>
      <c r="I11" s="385">
        <f t="shared" si="7"/>
        <v>0</v>
      </c>
      <c r="J11" s="385">
        <f t="shared" si="7"/>
        <v>0</v>
      </c>
      <c r="K11" s="385">
        <f t="shared" si="7"/>
        <v>0</v>
      </c>
      <c r="L11" s="385">
        <f t="shared" si="7"/>
        <v>0</v>
      </c>
      <c r="M11" s="385">
        <f t="shared" si="7"/>
        <v>0</v>
      </c>
      <c r="N11" s="385">
        <f t="shared" si="7"/>
        <v>0</v>
      </c>
      <c r="O11" s="385">
        <f t="shared" si="7"/>
        <v>0</v>
      </c>
      <c r="P11" s="385">
        <f t="shared" si="7"/>
        <v>0</v>
      </c>
      <c r="Q11" s="385">
        <f t="shared" si="7"/>
        <v>0</v>
      </c>
      <c r="R11" s="385">
        <f t="shared" si="7"/>
        <v>0</v>
      </c>
      <c r="S11" s="385">
        <f t="shared" si="7"/>
        <v>0</v>
      </c>
      <c r="T11" s="385">
        <f t="shared" si="7"/>
        <v>0</v>
      </c>
      <c r="U11" s="385">
        <f t="shared" si="7"/>
        <v>0</v>
      </c>
      <c r="V11" s="385">
        <f t="shared" si="7"/>
        <v>0</v>
      </c>
      <c r="W11" s="385">
        <f t="shared" si="7"/>
        <v>0</v>
      </c>
      <c r="X11" s="385">
        <f t="shared" si="7"/>
        <v>0</v>
      </c>
      <c r="Y11" s="385">
        <f t="shared" si="7"/>
        <v>0</v>
      </c>
      <c r="Z11" s="385">
        <f t="shared" si="7"/>
        <v>0</v>
      </c>
      <c r="AA11" s="385">
        <f t="shared" si="7"/>
        <v>0</v>
      </c>
      <c r="AB11" s="385">
        <f t="shared" si="7"/>
        <v>0</v>
      </c>
      <c r="AC11" s="386">
        <f t="shared" si="7"/>
        <v>0</v>
      </c>
      <c r="AD11" s="283"/>
      <c r="AE11" s="283"/>
      <c r="AF11" s="283"/>
      <c r="AG11" s="283"/>
      <c r="AH11" s="283"/>
      <c r="AI11" s="283"/>
    </row>
    <row r="12" spans="2:35" s="285" customFormat="1" ht="12">
      <c r="B12" s="354"/>
      <c r="C12" s="342" t="s">
        <v>292</v>
      </c>
      <c r="D12" s="355"/>
      <c r="E12" s="387">
        <f>$H$54*E83+$I$54*E84+$J$54*E85+($H$55*E86+$I$55*E87+$J$55*E88)/1000</f>
        <v>0</v>
      </c>
      <c r="F12" s="388">
        <f aca="true" t="shared" si="8" ref="F12:AC12">$H$54*F83+$I$54*F84+$J$54*F85+($H$55*F86+$I$55*F87+$J$55*F88)/1000</f>
        <v>0</v>
      </c>
      <c r="G12" s="388">
        <f t="shared" si="8"/>
        <v>0</v>
      </c>
      <c r="H12" s="388">
        <f t="shared" si="8"/>
        <v>0</v>
      </c>
      <c r="I12" s="388">
        <f t="shared" si="8"/>
        <v>0</v>
      </c>
      <c r="J12" s="388">
        <f t="shared" si="8"/>
        <v>0</v>
      </c>
      <c r="K12" s="388">
        <f t="shared" si="8"/>
        <v>0</v>
      </c>
      <c r="L12" s="388">
        <f t="shared" si="8"/>
        <v>0</v>
      </c>
      <c r="M12" s="388">
        <f t="shared" si="8"/>
        <v>0</v>
      </c>
      <c r="N12" s="388">
        <f t="shared" si="8"/>
        <v>0</v>
      </c>
      <c r="O12" s="388">
        <f t="shared" si="8"/>
        <v>0</v>
      </c>
      <c r="P12" s="388">
        <f t="shared" si="8"/>
        <v>0</v>
      </c>
      <c r="Q12" s="388">
        <f t="shared" si="8"/>
        <v>0</v>
      </c>
      <c r="R12" s="388">
        <f t="shared" si="8"/>
        <v>0</v>
      </c>
      <c r="S12" s="388">
        <f t="shared" si="8"/>
        <v>0</v>
      </c>
      <c r="T12" s="388">
        <f t="shared" si="8"/>
        <v>0</v>
      </c>
      <c r="U12" s="388">
        <f t="shared" si="8"/>
        <v>0</v>
      </c>
      <c r="V12" s="388">
        <f t="shared" si="8"/>
        <v>0</v>
      </c>
      <c r="W12" s="388">
        <f t="shared" si="8"/>
        <v>0</v>
      </c>
      <c r="X12" s="388">
        <f t="shared" si="8"/>
        <v>0</v>
      </c>
      <c r="Y12" s="388">
        <f t="shared" si="8"/>
        <v>0</v>
      </c>
      <c r="Z12" s="388">
        <f t="shared" si="8"/>
        <v>0</v>
      </c>
      <c r="AA12" s="388">
        <f t="shared" si="8"/>
        <v>0</v>
      </c>
      <c r="AB12" s="388">
        <f t="shared" si="8"/>
        <v>0</v>
      </c>
      <c r="AC12" s="389">
        <f t="shared" si="8"/>
        <v>0</v>
      </c>
      <c r="AD12" s="283"/>
      <c r="AE12" s="283"/>
      <c r="AF12" s="283"/>
      <c r="AG12" s="283"/>
      <c r="AH12" s="283"/>
      <c r="AI12" s="283"/>
    </row>
    <row r="13" spans="2:35" s="285" customFormat="1" ht="12.75" thickBot="1">
      <c r="B13" s="358"/>
      <c r="C13" s="479" t="s">
        <v>179</v>
      </c>
      <c r="D13" s="359"/>
      <c r="E13" s="466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8"/>
      <c r="AD13" s="283"/>
      <c r="AE13" s="283"/>
      <c r="AF13" s="283"/>
      <c r="AG13" s="283"/>
      <c r="AH13" s="283"/>
      <c r="AI13" s="283"/>
    </row>
    <row r="14" spans="1:29" ht="12.75" thickBot="1">
      <c r="A14" s="294"/>
      <c r="B14" s="358"/>
      <c r="C14" s="481" t="s">
        <v>178</v>
      </c>
      <c r="D14" s="359"/>
      <c r="E14" s="483">
        <f aca="true" t="shared" si="9" ref="E14:AC14">SUM(E11:E13)</f>
        <v>0</v>
      </c>
      <c r="F14" s="484">
        <f t="shared" si="9"/>
        <v>0</v>
      </c>
      <c r="G14" s="484">
        <f t="shared" si="9"/>
        <v>0</v>
      </c>
      <c r="H14" s="484">
        <f t="shared" si="9"/>
        <v>0</v>
      </c>
      <c r="I14" s="484">
        <f t="shared" si="9"/>
        <v>0</v>
      </c>
      <c r="J14" s="484">
        <f t="shared" si="9"/>
        <v>0</v>
      </c>
      <c r="K14" s="484">
        <f t="shared" si="9"/>
        <v>0</v>
      </c>
      <c r="L14" s="484">
        <f t="shared" si="9"/>
        <v>0</v>
      </c>
      <c r="M14" s="484">
        <f t="shared" si="9"/>
        <v>0</v>
      </c>
      <c r="N14" s="484">
        <f t="shared" si="9"/>
        <v>0</v>
      </c>
      <c r="O14" s="484">
        <f t="shared" si="9"/>
        <v>0</v>
      </c>
      <c r="P14" s="484">
        <f t="shared" si="9"/>
        <v>0</v>
      </c>
      <c r="Q14" s="484">
        <f t="shared" si="9"/>
        <v>0</v>
      </c>
      <c r="R14" s="484">
        <f t="shared" si="9"/>
        <v>0</v>
      </c>
      <c r="S14" s="484">
        <f t="shared" si="9"/>
        <v>0</v>
      </c>
      <c r="T14" s="484">
        <f t="shared" si="9"/>
        <v>0</v>
      </c>
      <c r="U14" s="484">
        <f t="shared" si="9"/>
        <v>0</v>
      </c>
      <c r="V14" s="484">
        <f t="shared" si="9"/>
        <v>0</v>
      </c>
      <c r="W14" s="484">
        <f t="shared" si="9"/>
        <v>0</v>
      </c>
      <c r="X14" s="484">
        <f t="shared" si="9"/>
        <v>0</v>
      </c>
      <c r="Y14" s="484">
        <f t="shared" si="9"/>
        <v>0</v>
      </c>
      <c r="Z14" s="484">
        <f t="shared" si="9"/>
        <v>0</v>
      </c>
      <c r="AA14" s="484">
        <f t="shared" si="9"/>
        <v>0</v>
      </c>
      <c r="AB14" s="484">
        <f t="shared" si="9"/>
        <v>0</v>
      </c>
      <c r="AC14" s="485">
        <f t="shared" si="9"/>
        <v>0</v>
      </c>
    </row>
    <row r="15" spans="1:29" ht="12">
      <c r="A15" s="294"/>
      <c r="B15" s="295"/>
      <c r="C15" s="301"/>
      <c r="D15" s="92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</row>
    <row r="16" spans="1:29" ht="12" thickBot="1">
      <c r="A16" s="285"/>
      <c r="B16" s="295"/>
      <c r="C16" s="469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</row>
    <row r="17" spans="1:29" ht="12.75">
      <c r="A17" s="285"/>
      <c r="B17" s="363" t="s">
        <v>30</v>
      </c>
      <c r="C17" s="364" t="s">
        <v>178</v>
      </c>
      <c r="D17" s="488"/>
      <c r="E17" s="976">
        <f>E2</f>
        <v>2014</v>
      </c>
      <c r="F17" s="976">
        <f aca="true" t="shared" si="10" ref="F17:S17">E17+1</f>
        <v>2015</v>
      </c>
      <c r="G17" s="976">
        <f t="shared" si="10"/>
        <v>2016</v>
      </c>
      <c r="H17" s="976">
        <f t="shared" si="10"/>
        <v>2017</v>
      </c>
      <c r="I17" s="976">
        <f t="shared" si="10"/>
        <v>2018</v>
      </c>
      <c r="J17" s="976">
        <f t="shared" si="10"/>
        <v>2019</v>
      </c>
      <c r="K17" s="976">
        <f t="shared" si="10"/>
        <v>2020</v>
      </c>
      <c r="L17" s="976">
        <f t="shared" si="10"/>
        <v>2021</v>
      </c>
      <c r="M17" s="976">
        <f t="shared" si="10"/>
        <v>2022</v>
      </c>
      <c r="N17" s="976">
        <f t="shared" si="10"/>
        <v>2023</v>
      </c>
      <c r="O17" s="976">
        <f t="shared" si="10"/>
        <v>2024</v>
      </c>
      <c r="P17" s="976">
        <f t="shared" si="10"/>
        <v>2025</v>
      </c>
      <c r="Q17" s="976">
        <f t="shared" si="10"/>
        <v>2026</v>
      </c>
      <c r="R17" s="976">
        <f t="shared" si="10"/>
        <v>2027</v>
      </c>
      <c r="S17" s="976">
        <f t="shared" si="10"/>
        <v>2028</v>
      </c>
      <c r="T17" s="976">
        <f aca="true" t="shared" si="11" ref="T17:AC17">S17+1</f>
        <v>2029</v>
      </c>
      <c r="U17" s="976">
        <f t="shared" si="11"/>
        <v>2030</v>
      </c>
      <c r="V17" s="976">
        <f t="shared" si="11"/>
        <v>2031</v>
      </c>
      <c r="W17" s="976">
        <f t="shared" si="11"/>
        <v>2032</v>
      </c>
      <c r="X17" s="976">
        <f t="shared" si="11"/>
        <v>2033</v>
      </c>
      <c r="Y17" s="976">
        <f t="shared" si="11"/>
        <v>2034</v>
      </c>
      <c r="Z17" s="976">
        <f t="shared" si="11"/>
        <v>2035</v>
      </c>
      <c r="AA17" s="976">
        <f t="shared" si="11"/>
        <v>2036</v>
      </c>
      <c r="AB17" s="976">
        <f t="shared" si="11"/>
        <v>2037</v>
      </c>
      <c r="AC17" s="990">
        <f t="shared" si="11"/>
        <v>2038</v>
      </c>
    </row>
    <row r="18" spans="1:29" ht="13.5" thickBot="1">
      <c r="A18" s="285"/>
      <c r="B18" s="366" t="s">
        <v>25</v>
      </c>
      <c r="C18" s="367" t="s">
        <v>100</v>
      </c>
      <c r="D18" s="368" t="s">
        <v>83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91"/>
    </row>
    <row r="19" spans="1:35" s="285" customFormat="1" ht="12">
      <c r="A19" s="199"/>
      <c r="B19" s="339"/>
      <c r="C19" s="342" t="s">
        <v>291</v>
      </c>
      <c r="D19" s="341">
        <f>SUM(E19:AC19,E26:AC26)</f>
        <v>0</v>
      </c>
      <c r="E19" s="384">
        <f>E94*$E$54+E95*$F$54+E96*$G$54+(E97*$E$55+E98*$F$55+E99*$G$55)/1000</f>
        <v>0</v>
      </c>
      <c r="F19" s="385">
        <f aca="true" t="shared" si="12" ref="F19:AC19">F94*$E$54+F95*$F$54+F96*$G$54+(F97*$E$55+F98*$F$55+F99*$G$55)/1000</f>
        <v>0</v>
      </c>
      <c r="G19" s="385">
        <f t="shared" si="12"/>
        <v>0</v>
      </c>
      <c r="H19" s="385">
        <f t="shared" si="12"/>
        <v>0</v>
      </c>
      <c r="I19" s="385">
        <f t="shared" si="12"/>
        <v>0</v>
      </c>
      <c r="J19" s="385">
        <f t="shared" si="12"/>
        <v>0</v>
      </c>
      <c r="K19" s="385">
        <f t="shared" si="12"/>
        <v>0</v>
      </c>
      <c r="L19" s="385">
        <f t="shared" si="12"/>
        <v>0</v>
      </c>
      <c r="M19" s="385">
        <f t="shared" si="12"/>
        <v>0</v>
      </c>
      <c r="N19" s="385">
        <f t="shared" si="12"/>
        <v>0</v>
      </c>
      <c r="O19" s="385">
        <f t="shared" si="12"/>
        <v>0</v>
      </c>
      <c r="P19" s="385">
        <f t="shared" si="12"/>
        <v>0</v>
      </c>
      <c r="Q19" s="385">
        <f t="shared" si="12"/>
        <v>0</v>
      </c>
      <c r="R19" s="385">
        <f t="shared" si="12"/>
        <v>0</v>
      </c>
      <c r="S19" s="385">
        <f t="shared" si="12"/>
        <v>0</v>
      </c>
      <c r="T19" s="385">
        <f t="shared" si="12"/>
        <v>0</v>
      </c>
      <c r="U19" s="385">
        <f t="shared" si="12"/>
        <v>0</v>
      </c>
      <c r="V19" s="385">
        <f t="shared" si="12"/>
        <v>0</v>
      </c>
      <c r="W19" s="385">
        <f t="shared" si="12"/>
        <v>0</v>
      </c>
      <c r="X19" s="385">
        <f t="shared" si="12"/>
        <v>0</v>
      </c>
      <c r="Y19" s="385">
        <f t="shared" si="12"/>
        <v>0</v>
      </c>
      <c r="Z19" s="385">
        <f t="shared" si="12"/>
        <v>0</v>
      </c>
      <c r="AA19" s="385">
        <f t="shared" si="12"/>
        <v>0</v>
      </c>
      <c r="AB19" s="385">
        <f t="shared" si="12"/>
        <v>0</v>
      </c>
      <c r="AC19" s="386">
        <f t="shared" si="12"/>
        <v>0</v>
      </c>
      <c r="AD19" s="283"/>
      <c r="AE19" s="283"/>
      <c r="AF19" s="283"/>
      <c r="AG19" s="283"/>
      <c r="AH19" s="283"/>
      <c r="AI19" s="283"/>
    </row>
    <row r="20" spans="1:35" s="285" customFormat="1" ht="12">
      <c r="A20" s="199"/>
      <c r="B20" s="339"/>
      <c r="C20" s="342" t="s">
        <v>292</v>
      </c>
      <c r="D20" s="341">
        <f>SUM(E20:AC20,E27:AC27)</f>
        <v>0</v>
      </c>
      <c r="E20" s="387">
        <f>$H$54*E100+$I$54*E101+$J$54*E102+($H$55*E103+$I$55*E104+$J$55*E105)/1000</f>
        <v>0</v>
      </c>
      <c r="F20" s="388">
        <f aca="true" t="shared" si="13" ref="F20:AC20">$H$54*F100+$I$54*F101+$J$54*F102+($H$55*F103+$I$55*F104+$J$55*F105)/1000</f>
        <v>0</v>
      </c>
      <c r="G20" s="388">
        <f t="shared" si="13"/>
        <v>0</v>
      </c>
      <c r="H20" s="388">
        <f t="shared" si="13"/>
        <v>0</v>
      </c>
      <c r="I20" s="388">
        <f t="shared" si="13"/>
        <v>0</v>
      </c>
      <c r="J20" s="388">
        <f t="shared" si="13"/>
        <v>0</v>
      </c>
      <c r="K20" s="388">
        <f t="shared" si="13"/>
        <v>0</v>
      </c>
      <c r="L20" s="388">
        <f t="shared" si="13"/>
        <v>0</v>
      </c>
      <c r="M20" s="388">
        <f t="shared" si="13"/>
        <v>0</v>
      </c>
      <c r="N20" s="388">
        <f t="shared" si="13"/>
        <v>0</v>
      </c>
      <c r="O20" s="388">
        <f t="shared" si="13"/>
        <v>0</v>
      </c>
      <c r="P20" s="388">
        <f t="shared" si="13"/>
        <v>0</v>
      </c>
      <c r="Q20" s="388">
        <f t="shared" si="13"/>
        <v>0</v>
      </c>
      <c r="R20" s="388">
        <f t="shared" si="13"/>
        <v>0</v>
      </c>
      <c r="S20" s="388">
        <f t="shared" si="13"/>
        <v>0</v>
      </c>
      <c r="T20" s="388">
        <f t="shared" si="13"/>
        <v>0</v>
      </c>
      <c r="U20" s="388">
        <f t="shared" si="13"/>
        <v>0</v>
      </c>
      <c r="V20" s="388">
        <f t="shared" si="13"/>
        <v>0</v>
      </c>
      <c r="W20" s="388">
        <f t="shared" si="13"/>
        <v>0</v>
      </c>
      <c r="X20" s="388">
        <f t="shared" si="13"/>
        <v>0</v>
      </c>
      <c r="Y20" s="388">
        <f t="shared" si="13"/>
        <v>0</v>
      </c>
      <c r="Z20" s="388">
        <f t="shared" si="13"/>
        <v>0</v>
      </c>
      <c r="AA20" s="388">
        <f t="shared" si="13"/>
        <v>0</v>
      </c>
      <c r="AB20" s="388">
        <f t="shared" si="13"/>
        <v>0</v>
      </c>
      <c r="AC20" s="389">
        <f t="shared" si="13"/>
        <v>0</v>
      </c>
      <c r="AD20" s="283"/>
      <c r="AE20" s="283"/>
      <c r="AF20" s="283"/>
      <c r="AG20" s="283"/>
      <c r="AH20" s="283"/>
      <c r="AI20" s="283"/>
    </row>
    <row r="21" spans="1:35" s="285" customFormat="1" ht="12.75" thickBot="1">
      <c r="A21" s="199"/>
      <c r="B21" s="339"/>
      <c r="C21" s="479" t="s">
        <v>179</v>
      </c>
      <c r="D21" s="341">
        <f>SUM(E21:AC21,E28:AC28)</f>
        <v>0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283"/>
      <c r="AE21" s="283"/>
      <c r="AF21" s="283"/>
      <c r="AG21" s="283"/>
      <c r="AH21" s="283"/>
      <c r="AI21" s="283"/>
    </row>
    <row r="22" spans="1:29" ht="12.75" thickBot="1">
      <c r="A22" s="285"/>
      <c r="B22" s="480"/>
      <c r="C22" s="481" t="s">
        <v>178</v>
      </c>
      <c r="D22" s="489">
        <f>SUM(E22:AC22,E29:AC29)</f>
        <v>0</v>
      </c>
      <c r="E22" s="483">
        <f aca="true" t="shared" si="14" ref="E22:AC22">SUM(E19:E21)</f>
        <v>0</v>
      </c>
      <c r="F22" s="484">
        <f t="shared" si="14"/>
        <v>0</v>
      </c>
      <c r="G22" s="484">
        <f t="shared" si="14"/>
        <v>0</v>
      </c>
      <c r="H22" s="484">
        <f t="shared" si="14"/>
        <v>0</v>
      </c>
      <c r="I22" s="484">
        <f t="shared" si="14"/>
        <v>0</v>
      </c>
      <c r="J22" s="484">
        <f t="shared" si="14"/>
        <v>0</v>
      </c>
      <c r="K22" s="484">
        <f t="shared" si="14"/>
        <v>0</v>
      </c>
      <c r="L22" s="484">
        <f t="shared" si="14"/>
        <v>0</v>
      </c>
      <c r="M22" s="484">
        <f t="shared" si="14"/>
        <v>0</v>
      </c>
      <c r="N22" s="484">
        <f t="shared" si="14"/>
        <v>0</v>
      </c>
      <c r="O22" s="484">
        <f t="shared" si="14"/>
        <v>0</v>
      </c>
      <c r="P22" s="484">
        <f t="shared" si="14"/>
        <v>0</v>
      </c>
      <c r="Q22" s="484">
        <f t="shared" si="14"/>
        <v>0</v>
      </c>
      <c r="R22" s="484">
        <f t="shared" si="14"/>
        <v>0</v>
      </c>
      <c r="S22" s="484">
        <f t="shared" si="14"/>
        <v>0</v>
      </c>
      <c r="T22" s="484">
        <f t="shared" si="14"/>
        <v>0</v>
      </c>
      <c r="U22" s="484">
        <f t="shared" si="14"/>
        <v>0</v>
      </c>
      <c r="V22" s="484">
        <f t="shared" si="14"/>
        <v>0</v>
      </c>
      <c r="W22" s="484">
        <f t="shared" si="14"/>
        <v>0</v>
      </c>
      <c r="X22" s="484">
        <f t="shared" si="14"/>
        <v>0</v>
      </c>
      <c r="Y22" s="484">
        <f t="shared" si="14"/>
        <v>0</v>
      </c>
      <c r="Z22" s="484">
        <f t="shared" si="14"/>
        <v>0</v>
      </c>
      <c r="AA22" s="484">
        <f t="shared" si="14"/>
        <v>0</v>
      </c>
      <c r="AB22" s="484">
        <f t="shared" si="14"/>
        <v>0</v>
      </c>
      <c r="AC22" s="485">
        <f t="shared" si="14"/>
        <v>0</v>
      </c>
    </row>
    <row r="23" spans="1:29" ht="12" thickBot="1">
      <c r="A23" s="285"/>
      <c r="B23" s="289"/>
      <c r="C23" s="285"/>
      <c r="D23" s="465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</row>
    <row r="24" spans="1:30" ht="12.75">
      <c r="A24" s="285"/>
      <c r="B24" s="363" t="s">
        <v>30</v>
      </c>
      <c r="C24" s="364" t="s">
        <v>178</v>
      </c>
      <c r="D24" s="488"/>
      <c r="E24" s="986">
        <f>AC17+1</f>
        <v>2039</v>
      </c>
      <c r="F24" s="976">
        <f aca="true" t="shared" si="15" ref="F24:S24">E24+1</f>
        <v>2040</v>
      </c>
      <c r="G24" s="976">
        <f t="shared" si="15"/>
        <v>2041</v>
      </c>
      <c r="H24" s="976">
        <f t="shared" si="15"/>
        <v>2042</v>
      </c>
      <c r="I24" s="976">
        <f t="shared" si="15"/>
        <v>2043</v>
      </c>
      <c r="J24" s="976">
        <f t="shared" si="15"/>
        <v>2044</v>
      </c>
      <c r="K24" s="976">
        <f t="shared" si="15"/>
        <v>2045</v>
      </c>
      <c r="L24" s="976">
        <f t="shared" si="15"/>
        <v>2046</v>
      </c>
      <c r="M24" s="976">
        <f t="shared" si="15"/>
        <v>2047</v>
      </c>
      <c r="N24" s="976">
        <f t="shared" si="15"/>
        <v>2048</v>
      </c>
      <c r="O24" s="976">
        <f t="shared" si="15"/>
        <v>2049</v>
      </c>
      <c r="P24" s="976">
        <f t="shared" si="15"/>
        <v>2050</v>
      </c>
      <c r="Q24" s="976">
        <f t="shared" si="15"/>
        <v>2051</v>
      </c>
      <c r="R24" s="976">
        <f t="shared" si="15"/>
        <v>2052</v>
      </c>
      <c r="S24" s="976">
        <f t="shared" si="15"/>
        <v>2053</v>
      </c>
      <c r="T24" s="976">
        <f aca="true" t="shared" si="16" ref="T24:AC24">S24+1</f>
        <v>2054</v>
      </c>
      <c r="U24" s="976">
        <f t="shared" si="16"/>
        <v>2055</v>
      </c>
      <c r="V24" s="976">
        <f t="shared" si="16"/>
        <v>2056</v>
      </c>
      <c r="W24" s="976">
        <f t="shared" si="16"/>
        <v>2057</v>
      </c>
      <c r="X24" s="976">
        <f t="shared" si="16"/>
        <v>2058</v>
      </c>
      <c r="Y24" s="976">
        <f t="shared" si="16"/>
        <v>2059</v>
      </c>
      <c r="Z24" s="976">
        <f t="shared" si="16"/>
        <v>2060</v>
      </c>
      <c r="AA24" s="976">
        <f t="shared" si="16"/>
        <v>2061</v>
      </c>
      <c r="AB24" s="976">
        <f t="shared" si="16"/>
        <v>2062</v>
      </c>
      <c r="AC24" s="990">
        <f t="shared" si="16"/>
        <v>2063</v>
      </c>
      <c r="AD24" s="285"/>
    </row>
    <row r="25" spans="2:35" s="285" customFormat="1" ht="13.5" thickBot="1">
      <c r="B25" s="366" t="s">
        <v>26</v>
      </c>
      <c r="C25" s="367" t="s">
        <v>100</v>
      </c>
      <c r="D25" s="370"/>
      <c r="E25" s="1012"/>
      <c r="F25" s="1007"/>
      <c r="G25" s="1007"/>
      <c r="H25" s="1007"/>
      <c r="I25" s="1007"/>
      <c r="J25" s="1007"/>
      <c r="K25" s="1007"/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  <c r="W25" s="1007"/>
      <c r="X25" s="1007"/>
      <c r="Y25" s="1007"/>
      <c r="Z25" s="1007"/>
      <c r="AA25" s="1007"/>
      <c r="AB25" s="1007"/>
      <c r="AC25" s="1006"/>
      <c r="AE25" s="283"/>
      <c r="AF25" s="283"/>
      <c r="AG25" s="283"/>
      <c r="AH25" s="283"/>
      <c r="AI25" s="283"/>
    </row>
    <row r="26" spans="2:35" s="285" customFormat="1" ht="12">
      <c r="B26" s="354"/>
      <c r="C26" s="342" t="s">
        <v>291</v>
      </c>
      <c r="D26" s="355"/>
      <c r="E26" s="384">
        <f>E110*$E$54+E111*$F$54+E112*$G$54+(E113*$E$55+E114*$F$55+E115*$G$55)/1000</f>
        <v>0</v>
      </c>
      <c r="F26" s="385">
        <f aca="true" t="shared" si="17" ref="F26:AC26">F110*$E$54+F111*$F$54+F112*$G$54+(F113*$E$55+F114*$F$55+F115*$G$55)/1000</f>
        <v>0</v>
      </c>
      <c r="G26" s="385">
        <f t="shared" si="17"/>
        <v>0</v>
      </c>
      <c r="H26" s="385">
        <f t="shared" si="17"/>
        <v>0</v>
      </c>
      <c r="I26" s="385">
        <f t="shared" si="17"/>
        <v>0</v>
      </c>
      <c r="J26" s="385">
        <f t="shared" si="17"/>
        <v>0</v>
      </c>
      <c r="K26" s="385">
        <f t="shared" si="17"/>
        <v>0</v>
      </c>
      <c r="L26" s="385">
        <f t="shared" si="17"/>
        <v>0</v>
      </c>
      <c r="M26" s="385">
        <f t="shared" si="17"/>
        <v>0</v>
      </c>
      <c r="N26" s="385">
        <f t="shared" si="17"/>
        <v>0</v>
      </c>
      <c r="O26" s="385">
        <f t="shared" si="17"/>
        <v>0</v>
      </c>
      <c r="P26" s="385">
        <f t="shared" si="17"/>
        <v>0</v>
      </c>
      <c r="Q26" s="385">
        <f t="shared" si="17"/>
        <v>0</v>
      </c>
      <c r="R26" s="385">
        <f t="shared" si="17"/>
        <v>0</v>
      </c>
      <c r="S26" s="385">
        <f t="shared" si="17"/>
        <v>0</v>
      </c>
      <c r="T26" s="385">
        <f t="shared" si="17"/>
        <v>0</v>
      </c>
      <c r="U26" s="385">
        <f t="shared" si="17"/>
        <v>0</v>
      </c>
      <c r="V26" s="385">
        <f t="shared" si="17"/>
        <v>0</v>
      </c>
      <c r="W26" s="385">
        <f t="shared" si="17"/>
        <v>0</v>
      </c>
      <c r="X26" s="385">
        <f t="shared" si="17"/>
        <v>0</v>
      </c>
      <c r="Y26" s="385">
        <f t="shared" si="17"/>
        <v>0</v>
      </c>
      <c r="Z26" s="385">
        <f t="shared" si="17"/>
        <v>0</v>
      </c>
      <c r="AA26" s="385">
        <f t="shared" si="17"/>
        <v>0</v>
      </c>
      <c r="AB26" s="385">
        <f t="shared" si="17"/>
        <v>0</v>
      </c>
      <c r="AC26" s="386">
        <f t="shared" si="17"/>
        <v>0</v>
      </c>
      <c r="AE26" s="283"/>
      <c r="AF26" s="283"/>
      <c r="AG26" s="283"/>
      <c r="AH26" s="283"/>
      <c r="AI26" s="283"/>
    </row>
    <row r="27" spans="2:35" s="285" customFormat="1" ht="12">
      <c r="B27" s="354"/>
      <c r="C27" s="342" t="s">
        <v>292</v>
      </c>
      <c r="D27" s="355"/>
      <c r="E27" s="387">
        <f>$H$54*E116+$I$54*E117+$J$54*E118+($H$55*E119+$I$55*E120+$J$55*E121)/1000</f>
        <v>0</v>
      </c>
      <c r="F27" s="388">
        <f aca="true" t="shared" si="18" ref="F27:AC27">$H$54*F116+$I$54*F117+$J$54*F118+($H$55*F119+$I$55*F120+$J$55*F121)/1000</f>
        <v>0</v>
      </c>
      <c r="G27" s="388">
        <f t="shared" si="18"/>
        <v>0</v>
      </c>
      <c r="H27" s="388">
        <f t="shared" si="18"/>
        <v>0</v>
      </c>
      <c r="I27" s="388">
        <f t="shared" si="18"/>
        <v>0</v>
      </c>
      <c r="J27" s="388">
        <f t="shared" si="18"/>
        <v>0</v>
      </c>
      <c r="K27" s="388">
        <f t="shared" si="18"/>
        <v>0</v>
      </c>
      <c r="L27" s="388">
        <f t="shared" si="18"/>
        <v>0</v>
      </c>
      <c r="M27" s="388">
        <f t="shared" si="18"/>
        <v>0</v>
      </c>
      <c r="N27" s="388">
        <f t="shared" si="18"/>
        <v>0</v>
      </c>
      <c r="O27" s="388">
        <f t="shared" si="18"/>
        <v>0</v>
      </c>
      <c r="P27" s="388">
        <f t="shared" si="18"/>
        <v>0</v>
      </c>
      <c r="Q27" s="388">
        <f t="shared" si="18"/>
        <v>0</v>
      </c>
      <c r="R27" s="388">
        <f t="shared" si="18"/>
        <v>0</v>
      </c>
      <c r="S27" s="388">
        <f t="shared" si="18"/>
        <v>0</v>
      </c>
      <c r="T27" s="388">
        <f t="shared" si="18"/>
        <v>0</v>
      </c>
      <c r="U27" s="388">
        <f t="shared" si="18"/>
        <v>0</v>
      </c>
      <c r="V27" s="388">
        <f t="shared" si="18"/>
        <v>0</v>
      </c>
      <c r="W27" s="388">
        <f t="shared" si="18"/>
        <v>0</v>
      </c>
      <c r="X27" s="388">
        <f t="shared" si="18"/>
        <v>0</v>
      </c>
      <c r="Y27" s="388">
        <f t="shared" si="18"/>
        <v>0</v>
      </c>
      <c r="Z27" s="388">
        <f t="shared" si="18"/>
        <v>0</v>
      </c>
      <c r="AA27" s="388">
        <f t="shared" si="18"/>
        <v>0</v>
      </c>
      <c r="AB27" s="388">
        <f t="shared" si="18"/>
        <v>0</v>
      </c>
      <c r="AC27" s="389">
        <f t="shared" si="18"/>
        <v>0</v>
      </c>
      <c r="AE27" s="283"/>
      <c r="AF27" s="283"/>
      <c r="AG27" s="283"/>
      <c r="AH27" s="283"/>
      <c r="AI27" s="283"/>
    </row>
    <row r="28" spans="2:35" s="285" customFormat="1" ht="12.75" thickBot="1">
      <c r="B28" s="358"/>
      <c r="C28" s="479" t="s">
        <v>179</v>
      </c>
      <c r="D28" s="359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E28" s="283"/>
      <c r="AF28" s="283"/>
      <c r="AG28" s="283"/>
      <c r="AH28" s="283"/>
      <c r="AI28" s="283"/>
    </row>
    <row r="29" spans="1:30" ht="12.75" thickBot="1">
      <c r="A29" s="285"/>
      <c r="B29" s="480"/>
      <c r="C29" s="481" t="s">
        <v>178</v>
      </c>
      <c r="D29" s="490"/>
      <c r="E29" s="483">
        <f aca="true" t="shared" si="19" ref="E29:AC29">SUM(E26:E28)</f>
        <v>0</v>
      </c>
      <c r="F29" s="484">
        <f t="shared" si="19"/>
        <v>0</v>
      </c>
      <c r="G29" s="484">
        <f t="shared" si="19"/>
        <v>0</v>
      </c>
      <c r="H29" s="484">
        <f t="shared" si="19"/>
        <v>0</v>
      </c>
      <c r="I29" s="484">
        <f t="shared" si="19"/>
        <v>0</v>
      </c>
      <c r="J29" s="484">
        <f t="shared" si="19"/>
        <v>0</v>
      </c>
      <c r="K29" s="484">
        <f t="shared" si="19"/>
        <v>0</v>
      </c>
      <c r="L29" s="484">
        <f t="shared" si="19"/>
        <v>0</v>
      </c>
      <c r="M29" s="484">
        <f t="shared" si="19"/>
        <v>0</v>
      </c>
      <c r="N29" s="484">
        <f t="shared" si="19"/>
        <v>0</v>
      </c>
      <c r="O29" s="484">
        <f t="shared" si="19"/>
        <v>0</v>
      </c>
      <c r="P29" s="484">
        <f t="shared" si="19"/>
        <v>0</v>
      </c>
      <c r="Q29" s="484">
        <f t="shared" si="19"/>
        <v>0</v>
      </c>
      <c r="R29" s="484">
        <f t="shared" si="19"/>
        <v>0</v>
      </c>
      <c r="S29" s="484">
        <f t="shared" si="19"/>
        <v>0</v>
      </c>
      <c r="T29" s="484">
        <f t="shared" si="19"/>
        <v>0</v>
      </c>
      <c r="U29" s="484">
        <f t="shared" si="19"/>
        <v>0</v>
      </c>
      <c r="V29" s="484">
        <f t="shared" si="19"/>
        <v>0</v>
      </c>
      <c r="W29" s="484">
        <f t="shared" si="19"/>
        <v>0</v>
      </c>
      <c r="X29" s="484">
        <f t="shared" si="19"/>
        <v>0</v>
      </c>
      <c r="Y29" s="484">
        <f t="shared" si="19"/>
        <v>0</v>
      </c>
      <c r="Z29" s="484">
        <f t="shared" si="19"/>
        <v>0</v>
      </c>
      <c r="AA29" s="484">
        <f t="shared" si="19"/>
        <v>0</v>
      </c>
      <c r="AB29" s="484">
        <f t="shared" si="19"/>
        <v>0</v>
      </c>
      <c r="AC29" s="485">
        <f t="shared" si="19"/>
        <v>0</v>
      </c>
      <c r="AD29" s="285"/>
    </row>
    <row r="30" spans="1:29" ht="12">
      <c r="A30" s="285"/>
      <c r="B30" s="295"/>
      <c r="C30" s="301"/>
      <c r="D30" s="92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</row>
    <row r="31" spans="1:34" ht="12" thickBot="1">
      <c r="A31" s="285"/>
      <c r="B31" s="295"/>
      <c r="C31" s="469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5"/>
      <c r="AE31" s="285"/>
      <c r="AF31" s="285"/>
      <c r="AG31" s="285"/>
      <c r="AH31" s="285"/>
    </row>
    <row r="32" spans="2:29" s="285" customFormat="1" ht="12.75" customHeight="1">
      <c r="B32" s="371" t="s">
        <v>31</v>
      </c>
      <c r="C32" s="372" t="s">
        <v>180</v>
      </c>
      <c r="D32" s="373"/>
      <c r="E32" s="978">
        <f>E2</f>
        <v>2014</v>
      </c>
      <c r="F32" s="978">
        <f aca="true" t="shared" si="20" ref="F32:S32">E32+1</f>
        <v>2015</v>
      </c>
      <c r="G32" s="978">
        <f t="shared" si="20"/>
        <v>2016</v>
      </c>
      <c r="H32" s="978">
        <f t="shared" si="20"/>
        <v>2017</v>
      </c>
      <c r="I32" s="978">
        <f t="shared" si="20"/>
        <v>2018</v>
      </c>
      <c r="J32" s="978">
        <f t="shared" si="20"/>
        <v>2019</v>
      </c>
      <c r="K32" s="978">
        <f t="shared" si="20"/>
        <v>2020</v>
      </c>
      <c r="L32" s="978">
        <f t="shared" si="20"/>
        <v>2021</v>
      </c>
      <c r="M32" s="978">
        <f t="shared" si="20"/>
        <v>2022</v>
      </c>
      <c r="N32" s="978">
        <f t="shared" si="20"/>
        <v>2023</v>
      </c>
      <c r="O32" s="978">
        <f t="shared" si="20"/>
        <v>2024</v>
      </c>
      <c r="P32" s="978">
        <f t="shared" si="20"/>
        <v>2025</v>
      </c>
      <c r="Q32" s="978">
        <f t="shared" si="20"/>
        <v>2026</v>
      </c>
      <c r="R32" s="978">
        <f t="shared" si="20"/>
        <v>2027</v>
      </c>
      <c r="S32" s="978">
        <f t="shared" si="20"/>
        <v>2028</v>
      </c>
      <c r="T32" s="978">
        <f aca="true" t="shared" si="21" ref="T32:AC32">S32+1</f>
        <v>2029</v>
      </c>
      <c r="U32" s="978">
        <f t="shared" si="21"/>
        <v>2030</v>
      </c>
      <c r="V32" s="978">
        <f t="shared" si="21"/>
        <v>2031</v>
      </c>
      <c r="W32" s="978">
        <f t="shared" si="21"/>
        <v>2032</v>
      </c>
      <c r="X32" s="978">
        <f t="shared" si="21"/>
        <v>2033</v>
      </c>
      <c r="Y32" s="978">
        <f t="shared" si="21"/>
        <v>2034</v>
      </c>
      <c r="Z32" s="978">
        <f t="shared" si="21"/>
        <v>2035</v>
      </c>
      <c r="AA32" s="978">
        <f t="shared" si="21"/>
        <v>2036</v>
      </c>
      <c r="AB32" s="978">
        <f t="shared" si="21"/>
        <v>2037</v>
      </c>
      <c r="AC32" s="994">
        <f t="shared" si="21"/>
        <v>2038</v>
      </c>
    </row>
    <row r="33" spans="1:29" s="285" customFormat="1" ht="12.75" customHeight="1" thickBot="1">
      <c r="A33" s="300"/>
      <c r="B33" s="374" t="s">
        <v>25</v>
      </c>
      <c r="C33" s="375" t="s">
        <v>161</v>
      </c>
      <c r="D33" s="376" t="s">
        <v>83</v>
      </c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09"/>
      <c r="AC33" s="1010"/>
    </row>
    <row r="34" spans="1:29" s="285" customFormat="1" ht="12.75" customHeight="1">
      <c r="A34" s="300"/>
      <c r="B34" s="491"/>
      <c r="C34" s="342" t="s">
        <v>291</v>
      </c>
      <c r="D34" s="341">
        <f>SUM(E34:AC34,E41:AC41)</f>
        <v>0</v>
      </c>
      <c r="E34" s="492">
        <f>E4-E19</f>
        <v>0</v>
      </c>
      <c r="F34" s="492">
        <f aca="true" t="shared" si="22" ref="F34:S34">F4-F19</f>
        <v>0</v>
      </c>
      <c r="G34" s="492">
        <f t="shared" si="22"/>
        <v>0</v>
      </c>
      <c r="H34" s="492">
        <f t="shared" si="22"/>
        <v>0</v>
      </c>
      <c r="I34" s="492">
        <f t="shared" si="22"/>
        <v>0</v>
      </c>
      <c r="J34" s="492">
        <f t="shared" si="22"/>
        <v>0</v>
      </c>
      <c r="K34" s="492">
        <f t="shared" si="22"/>
        <v>0</v>
      </c>
      <c r="L34" s="492">
        <f t="shared" si="22"/>
        <v>0</v>
      </c>
      <c r="M34" s="492">
        <f t="shared" si="22"/>
        <v>0</v>
      </c>
      <c r="N34" s="492">
        <f t="shared" si="22"/>
        <v>0</v>
      </c>
      <c r="O34" s="492">
        <f t="shared" si="22"/>
        <v>0</v>
      </c>
      <c r="P34" s="492">
        <f t="shared" si="22"/>
        <v>0</v>
      </c>
      <c r="Q34" s="492">
        <f t="shared" si="22"/>
        <v>0</v>
      </c>
      <c r="R34" s="492">
        <f t="shared" si="22"/>
        <v>0</v>
      </c>
      <c r="S34" s="492">
        <f t="shared" si="22"/>
        <v>0</v>
      </c>
      <c r="T34" s="492">
        <f aca="true" t="shared" si="23" ref="T34:AC34">T4-T19</f>
        <v>0</v>
      </c>
      <c r="U34" s="492">
        <f t="shared" si="23"/>
        <v>0</v>
      </c>
      <c r="V34" s="492">
        <f t="shared" si="23"/>
        <v>0</v>
      </c>
      <c r="W34" s="492">
        <f t="shared" si="23"/>
        <v>0</v>
      </c>
      <c r="X34" s="492">
        <f t="shared" si="23"/>
        <v>0</v>
      </c>
      <c r="Y34" s="492">
        <f t="shared" si="23"/>
        <v>0</v>
      </c>
      <c r="Z34" s="492">
        <f t="shared" si="23"/>
        <v>0</v>
      </c>
      <c r="AA34" s="492">
        <f t="shared" si="23"/>
        <v>0</v>
      </c>
      <c r="AB34" s="492">
        <f t="shared" si="23"/>
        <v>0</v>
      </c>
      <c r="AC34" s="493">
        <f t="shared" si="23"/>
        <v>0</v>
      </c>
    </row>
    <row r="35" spans="1:29" s="285" customFormat="1" ht="12.75" customHeight="1">
      <c r="A35" s="300"/>
      <c r="B35" s="491"/>
      <c r="C35" s="342" t="s">
        <v>292</v>
      </c>
      <c r="D35" s="341">
        <f>SUM(E35:AC35,E42:AC42)</f>
        <v>0</v>
      </c>
      <c r="E35" s="494">
        <f>E5-E20</f>
        <v>0</v>
      </c>
      <c r="F35" s="494">
        <f aca="true" t="shared" si="24" ref="F35:AC35">F5-F20</f>
        <v>0</v>
      </c>
      <c r="G35" s="494">
        <f t="shared" si="24"/>
        <v>0</v>
      </c>
      <c r="H35" s="494">
        <f t="shared" si="24"/>
        <v>0</v>
      </c>
      <c r="I35" s="494">
        <f t="shared" si="24"/>
        <v>0</v>
      </c>
      <c r="J35" s="494">
        <f t="shared" si="24"/>
        <v>0</v>
      </c>
      <c r="K35" s="494">
        <f t="shared" si="24"/>
        <v>0</v>
      </c>
      <c r="L35" s="494">
        <f t="shared" si="24"/>
        <v>0</v>
      </c>
      <c r="M35" s="494">
        <f t="shared" si="24"/>
        <v>0</v>
      </c>
      <c r="N35" s="494">
        <f t="shared" si="24"/>
        <v>0</v>
      </c>
      <c r="O35" s="494">
        <f t="shared" si="24"/>
        <v>0</v>
      </c>
      <c r="P35" s="494">
        <f t="shared" si="24"/>
        <v>0</v>
      </c>
      <c r="Q35" s="494">
        <f t="shared" si="24"/>
        <v>0</v>
      </c>
      <c r="R35" s="494">
        <f t="shared" si="24"/>
        <v>0</v>
      </c>
      <c r="S35" s="494">
        <f t="shared" si="24"/>
        <v>0</v>
      </c>
      <c r="T35" s="494">
        <f t="shared" si="24"/>
        <v>0</v>
      </c>
      <c r="U35" s="494">
        <f t="shared" si="24"/>
        <v>0</v>
      </c>
      <c r="V35" s="494">
        <f t="shared" si="24"/>
        <v>0</v>
      </c>
      <c r="W35" s="494">
        <f t="shared" si="24"/>
        <v>0</v>
      </c>
      <c r="X35" s="494">
        <f t="shared" si="24"/>
        <v>0</v>
      </c>
      <c r="Y35" s="494">
        <f t="shared" si="24"/>
        <v>0</v>
      </c>
      <c r="Z35" s="494">
        <f t="shared" si="24"/>
        <v>0</v>
      </c>
      <c r="AA35" s="494">
        <f t="shared" si="24"/>
        <v>0</v>
      </c>
      <c r="AB35" s="494">
        <f t="shared" si="24"/>
        <v>0</v>
      </c>
      <c r="AC35" s="495">
        <f t="shared" si="24"/>
        <v>0</v>
      </c>
    </row>
    <row r="36" spans="1:29" s="285" customFormat="1" ht="12.75" customHeight="1" thickBot="1">
      <c r="A36" s="300"/>
      <c r="B36" s="496"/>
      <c r="C36" s="479" t="s">
        <v>179</v>
      </c>
      <c r="D36" s="341">
        <f>SUM(E36:AC36,E43:AC43)</f>
        <v>0</v>
      </c>
      <c r="E36" s="497">
        <f>E6-E21</f>
        <v>0</v>
      </c>
      <c r="F36" s="497">
        <f aca="true" t="shared" si="25" ref="F36:S36">F6-F21</f>
        <v>0</v>
      </c>
      <c r="G36" s="497">
        <f t="shared" si="25"/>
        <v>0</v>
      </c>
      <c r="H36" s="497">
        <f t="shared" si="25"/>
        <v>0</v>
      </c>
      <c r="I36" s="497">
        <f t="shared" si="25"/>
        <v>0</v>
      </c>
      <c r="J36" s="497">
        <f t="shared" si="25"/>
        <v>0</v>
      </c>
      <c r="K36" s="497">
        <f t="shared" si="25"/>
        <v>0</v>
      </c>
      <c r="L36" s="497">
        <f t="shared" si="25"/>
        <v>0</v>
      </c>
      <c r="M36" s="497">
        <f t="shared" si="25"/>
        <v>0</v>
      </c>
      <c r="N36" s="497">
        <f t="shared" si="25"/>
        <v>0</v>
      </c>
      <c r="O36" s="497">
        <f t="shared" si="25"/>
        <v>0</v>
      </c>
      <c r="P36" s="497">
        <f t="shared" si="25"/>
        <v>0</v>
      </c>
      <c r="Q36" s="497">
        <f t="shared" si="25"/>
        <v>0</v>
      </c>
      <c r="R36" s="497">
        <f t="shared" si="25"/>
        <v>0</v>
      </c>
      <c r="S36" s="497">
        <f t="shared" si="25"/>
        <v>0</v>
      </c>
      <c r="T36" s="497">
        <f aca="true" t="shared" si="26" ref="T36:AC36">T6-T21</f>
        <v>0</v>
      </c>
      <c r="U36" s="497">
        <f t="shared" si="26"/>
        <v>0</v>
      </c>
      <c r="V36" s="497">
        <f t="shared" si="26"/>
        <v>0</v>
      </c>
      <c r="W36" s="497">
        <f t="shared" si="26"/>
        <v>0</v>
      </c>
      <c r="X36" s="497">
        <f t="shared" si="26"/>
        <v>0</v>
      </c>
      <c r="Y36" s="497">
        <f t="shared" si="26"/>
        <v>0</v>
      </c>
      <c r="Z36" s="497">
        <f t="shared" si="26"/>
        <v>0</v>
      </c>
      <c r="AA36" s="497">
        <f t="shared" si="26"/>
        <v>0</v>
      </c>
      <c r="AB36" s="497">
        <f t="shared" si="26"/>
        <v>0</v>
      </c>
      <c r="AC36" s="498">
        <f t="shared" si="26"/>
        <v>0</v>
      </c>
    </row>
    <row r="37" spans="2:29" s="285" customFormat="1" ht="12.75" thickBot="1">
      <c r="B37" s="480"/>
      <c r="C37" s="481" t="s">
        <v>180</v>
      </c>
      <c r="D37" s="489">
        <f>SUM(E37:AC37,E44:AC44)</f>
        <v>0</v>
      </c>
      <c r="E37" s="484">
        <f>E7-E22</f>
        <v>0</v>
      </c>
      <c r="F37" s="484">
        <f aca="true" t="shared" si="27" ref="F37:S37">F7-F22</f>
        <v>0</v>
      </c>
      <c r="G37" s="484">
        <f t="shared" si="27"/>
        <v>0</v>
      </c>
      <c r="H37" s="484">
        <f t="shared" si="27"/>
        <v>0</v>
      </c>
      <c r="I37" s="484">
        <f t="shared" si="27"/>
        <v>0</v>
      </c>
      <c r="J37" s="484">
        <f t="shared" si="27"/>
        <v>0</v>
      </c>
      <c r="K37" s="484">
        <f t="shared" si="27"/>
        <v>0</v>
      </c>
      <c r="L37" s="484">
        <f t="shared" si="27"/>
        <v>0</v>
      </c>
      <c r="M37" s="484">
        <f t="shared" si="27"/>
        <v>0</v>
      </c>
      <c r="N37" s="484">
        <f t="shared" si="27"/>
        <v>0</v>
      </c>
      <c r="O37" s="484">
        <f t="shared" si="27"/>
        <v>0</v>
      </c>
      <c r="P37" s="484">
        <f t="shared" si="27"/>
        <v>0</v>
      </c>
      <c r="Q37" s="484">
        <f t="shared" si="27"/>
        <v>0</v>
      </c>
      <c r="R37" s="484">
        <f t="shared" si="27"/>
        <v>0</v>
      </c>
      <c r="S37" s="484">
        <f t="shared" si="27"/>
        <v>0</v>
      </c>
      <c r="T37" s="484">
        <f aca="true" t="shared" si="28" ref="T37:AC37">T7-T22</f>
        <v>0</v>
      </c>
      <c r="U37" s="484">
        <f t="shared" si="28"/>
        <v>0</v>
      </c>
      <c r="V37" s="484">
        <f t="shared" si="28"/>
        <v>0</v>
      </c>
      <c r="W37" s="484">
        <f t="shared" si="28"/>
        <v>0</v>
      </c>
      <c r="X37" s="484">
        <f t="shared" si="28"/>
        <v>0</v>
      </c>
      <c r="Y37" s="484">
        <f t="shared" si="28"/>
        <v>0</v>
      </c>
      <c r="Z37" s="484">
        <f t="shared" si="28"/>
        <v>0</v>
      </c>
      <c r="AA37" s="484">
        <f t="shared" si="28"/>
        <v>0</v>
      </c>
      <c r="AB37" s="484">
        <f t="shared" si="28"/>
        <v>0</v>
      </c>
      <c r="AC37" s="485">
        <f t="shared" si="28"/>
        <v>0</v>
      </c>
    </row>
    <row r="38" spans="2:29" s="285" customFormat="1" ht="12" thickBot="1">
      <c r="B38" s="470"/>
      <c r="C38" s="199"/>
      <c r="D38" s="196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</row>
    <row r="39" spans="2:29" s="285" customFormat="1" ht="12.75" customHeight="1">
      <c r="B39" s="371" t="s">
        <v>31</v>
      </c>
      <c r="C39" s="372" t="s">
        <v>180</v>
      </c>
      <c r="D39" s="373"/>
      <c r="E39" s="984">
        <f>AC32+1</f>
        <v>2039</v>
      </c>
      <c r="F39" s="978">
        <f aca="true" t="shared" si="29" ref="F39:S39">E39+1</f>
        <v>2040</v>
      </c>
      <c r="G39" s="978">
        <f t="shared" si="29"/>
        <v>2041</v>
      </c>
      <c r="H39" s="978">
        <f t="shared" si="29"/>
        <v>2042</v>
      </c>
      <c r="I39" s="978">
        <f t="shared" si="29"/>
        <v>2043</v>
      </c>
      <c r="J39" s="978">
        <f t="shared" si="29"/>
        <v>2044</v>
      </c>
      <c r="K39" s="978">
        <f t="shared" si="29"/>
        <v>2045</v>
      </c>
      <c r="L39" s="978">
        <f t="shared" si="29"/>
        <v>2046</v>
      </c>
      <c r="M39" s="978">
        <f t="shared" si="29"/>
        <v>2047</v>
      </c>
      <c r="N39" s="978">
        <f t="shared" si="29"/>
        <v>2048</v>
      </c>
      <c r="O39" s="978">
        <f t="shared" si="29"/>
        <v>2049</v>
      </c>
      <c r="P39" s="978">
        <f t="shared" si="29"/>
        <v>2050</v>
      </c>
      <c r="Q39" s="978">
        <f t="shared" si="29"/>
        <v>2051</v>
      </c>
      <c r="R39" s="978">
        <f t="shared" si="29"/>
        <v>2052</v>
      </c>
      <c r="S39" s="978">
        <f t="shared" si="29"/>
        <v>2053</v>
      </c>
      <c r="T39" s="978">
        <f aca="true" t="shared" si="30" ref="T39:AC39">S39+1</f>
        <v>2054</v>
      </c>
      <c r="U39" s="978">
        <f t="shared" si="30"/>
        <v>2055</v>
      </c>
      <c r="V39" s="978">
        <f t="shared" si="30"/>
        <v>2056</v>
      </c>
      <c r="W39" s="978">
        <f t="shared" si="30"/>
        <v>2057</v>
      </c>
      <c r="X39" s="978">
        <f t="shared" si="30"/>
        <v>2058</v>
      </c>
      <c r="Y39" s="978">
        <f t="shared" si="30"/>
        <v>2059</v>
      </c>
      <c r="Z39" s="978">
        <f t="shared" si="30"/>
        <v>2060</v>
      </c>
      <c r="AA39" s="978">
        <f t="shared" si="30"/>
        <v>2061</v>
      </c>
      <c r="AB39" s="978">
        <f t="shared" si="30"/>
        <v>2062</v>
      </c>
      <c r="AC39" s="994">
        <f t="shared" si="30"/>
        <v>2063</v>
      </c>
    </row>
    <row r="40" spans="1:29" s="285" customFormat="1" ht="12.75" customHeight="1" thickBot="1">
      <c r="A40" s="300"/>
      <c r="B40" s="374" t="s">
        <v>26</v>
      </c>
      <c r="C40" s="499" t="s">
        <v>161</v>
      </c>
      <c r="D40" s="500"/>
      <c r="E40" s="1013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10"/>
    </row>
    <row r="41" spans="1:29" s="285" customFormat="1" ht="12.75" customHeight="1">
      <c r="A41" s="300"/>
      <c r="B41" s="491"/>
      <c r="C41" s="342" t="s">
        <v>291</v>
      </c>
      <c r="D41" s="501"/>
      <c r="E41" s="502">
        <f aca="true" t="shared" si="31" ref="E41:T42">E11-E26</f>
        <v>0</v>
      </c>
      <c r="F41" s="492">
        <f t="shared" si="31"/>
        <v>0</v>
      </c>
      <c r="G41" s="492">
        <f t="shared" si="31"/>
        <v>0</v>
      </c>
      <c r="H41" s="492">
        <f t="shared" si="31"/>
        <v>0</v>
      </c>
      <c r="I41" s="492">
        <f t="shared" si="31"/>
        <v>0</v>
      </c>
      <c r="J41" s="492">
        <f t="shared" si="31"/>
        <v>0</v>
      </c>
      <c r="K41" s="492">
        <f t="shared" si="31"/>
        <v>0</v>
      </c>
      <c r="L41" s="492">
        <f t="shared" si="31"/>
        <v>0</v>
      </c>
      <c r="M41" s="492">
        <f t="shared" si="31"/>
        <v>0</v>
      </c>
      <c r="N41" s="492">
        <f t="shared" si="31"/>
        <v>0</v>
      </c>
      <c r="O41" s="492">
        <f t="shared" si="31"/>
        <v>0</v>
      </c>
      <c r="P41" s="492">
        <f t="shared" si="31"/>
        <v>0</v>
      </c>
      <c r="Q41" s="492">
        <f t="shared" si="31"/>
        <v>0</v>
      </c>
      <c r="R41" s="492">
        <f t="shared" si="31"/>
        <v>0</v>
      </c>
      <c r="S41" s="492">
        <f>S11-S26</f>
        <v>0</v>
      </c>
      <c r="T41" s="492">
        <f aca="true" t="shared" si="32" ref="T41:AC42">T11-T26</f>
        <v>0</v>
      </c>
      <c r="U41" s="492">
        <f t="shared" si="32"/>
        <v>0</v>
      </c>
      <c r="V41" s="492">
        <f t="shared" si="32"/>
        <v>0</v>
      </c>
      <c r="W41" s="492">
        <f t="shared" si="32"/>
        <v>0</v>
      </c>
      <c r="X41" s="492">
        <f t="shared" si="32"/>
        <v>0</v>
      </c>
      <c r="Y41" s="492">
        <f t="shared" si="32"/>
        <v>0</v>
      </c>
      <c r="Z41" s="492">
        <f t="shared" si="32"/>
        <v>0</v>
      </c>
      <c r="AA41" s="492">
        <f t="shared" si="32"/>
        <v>0</v>
      </c>
      <c r="AB41" s="492">
        <f t="shared" si="32"/>
        <v>0</v>
      </c>
      <c r="AC41" s="493">
        <f t="shared" si="32"/>
        <v>0</v>
      </c>
    </row>
    <row r="42" spans="1:29" s="285" customFormat="1" ht="12.75" customHeight="1">
      <c r="A42" s="300"/>
      <c r="B42" s="491"/>
      <c r="C42" s="342" t="s">
        <v>292</v>
      </c>
      <c r="D42" s="503"/>
      <c r="E42" s="504">
        <f t="shared" si="31"/>
        <v>0</v>
      </c>
      <c r="F42" s="494">
        <f t="shared" si="31"/>
        <v>0</v>
      </c>
      <c r="G42" s="494">
        <f t="shared" si="31"/>
        <v>0</v>
      </c>
      <c r="H42" s="494">
        <f t="shared" si="31"/>
        <v>0</v>
      </c>
      <c r="I42" s="494">
        <f t="shared" si="31"/>
        <v>0</v>
      </c>
      <c r="J42" s="494">
        <f t="shared" si="31"/>
        <v>0</v>
      </c>
      <c r="K42" s="494">
        <f t="shared" si="31"/>
        <v>0</v>
      </c>
      <c r="L42" s="494">
        <f t="shared" si="31"/>
        <v>0</v>
      </c>
      <c r="M42" s="494">
        <f t="shared" si="31"/>
        <v>0</v>
      </c>
      <c r="N42" s="494">
        <f t="shared" si="31"/>
        <v>0</v>
      </c>
      <c r="O42" s="494">
        <f t="shared" si="31"/>
        <v>0</v>
      </c>
      <c r="P42" s="494">
        <f t="shared" si="31"/>
        <v>0</v>
      </c>
      <c r="Q42" s="494">
        <f t="shared" si="31"/>
        <v>0</v>
      </c>
      <c r="R42" s="494">
        <f t="shared" si="31"/>
        <v>0</v>
      </c>
      <c r="S42" s="494">
        <f t="shared" si="31"/>
        <v>0</v>
      </c>
      <c r="T42" s="494">
        <f t="shared" si="31"/>
        <v>0</v>
      </c>
      <c r="U42" s="494">
        <f t="shared" si="32"/>
        <v>0</v>
      </c>
      <c r="V42" s="494">
        <f t="shared" si="32"/>
        <v>0</v>
      </c>
      <c r="W42" s="494">
        <f t="shared" si="32"/>
        <v>0</v>
      </c>
      <c r="X42" s="494">
        <f t="shared" si="32"/>
        <v>0</v>
      </c>
      <c r="Y42" s="494">
        <f t="shared" si="32"/>
        <v>0</v>
      </c>
      <c r="Z42" s="494">
        <f t="shared" si="32"/>
        <v>0</v>
      </c>
      <c r="AA42" s="494">
        <f t="shared" si="32"/>
        <v>0</v>
      </c>
      <c r="AB42" s="494">
        <f t="shared" si="32"/>
        <v>0</v>
      </c>
      <c r="AC42" s="495">
        <f t="shared" si="32"/>
        <v>0</v>
      </c>
    </row>
    <row r="43" spans="1:29" s="285" customFormat="1" ht="12.75" customHeight="1" thickBot="1">
      <c r="A43" s="300"/>
      <c r="B43" s="496"/>
      <c r="C43" s="479" t="s">
        <v>179</v>
      </c>
      <c r="D43" s="505"/>
      <c r="E43" s="506">
        <f aca="true" t="shared" si="33" ref="E43:R43">E13-E28</f>
        <v>0</v>
      </c>
      <c r="F43" s="497">
        <f t="shared" si="33"/>
        <v>0</v>
      </c>
      <c r="G43" s="497">
        <f t="shared" si="33"/>
        <v>0</v>
      </c>
      <c r="H43" s="497">
        <f t="shared" si="33"/>
        <v>0</v>
      </c>
      <c r="I43" s="497">
        <f t="shared" si="33"/>
        <v>0</v>
      </c>
      <c r="J43" s="497">
        <f t="shared" si="33"/>
        <v>0</v>
      </c>
      <c r="K43" s="497">
        <f t="shared" si="33"/>
        <v>0</v>
      </c>
      <c r="L43" s="497">
        <f t="shared" si="33"/>
        <v>0</v>
      </c>
      <c r="M43" s="497">
        <f t="shared" si="33"/>
        <v>0</v>
      </c>
      <c r="N43" s="497">
        <f t="shared" si="33"/>
        <v>0</v>
      </c>
      <c r="O43" s="497">
        <f t="shared" si="33"/>
        <v>0</v>
      </c>
      <c r="P43" s="497">
        <f t="shared" si="33"/>
        <v>0</v>
      </c>
      <c r="Q43" s="497">
        <f t="shared" si="33"/>
        <v>0</v>
      </c>
      <c r="R43" s="497">
        <f t="shared" si="33"/>
        <v>0</v>
      </c>
      <c r="S43" s="497">
        <f>S13-S28</f>
        <v>0</v>
      </c>
      <c r="T43" s="497">
        <f aca="true" t="shared" si="34" ref="T43:AC43">T13-T28</f>
        <v>0</v>
      </c>
      <c r="U43" s="497">
        <f t="shared" si="34"/>
        <v>0</v>
      </c>
      <c r="V43" s="497">
        <f t="shared" si="34"/>
        <v>0</v>
      </c>
      <c r="W43" s="497">
        <f t="shared" si="34"/>
        <v>0</v>
      </c>
      <c r="X43" s="497">
        <f t="shared" si="34"/>
        <v>0</v>
      </c>
      <c r="Y43" s="497">
        <f t="shared" si="34"/>
        <v>0</v>
      </c>
      <c r="Z43" s="497">
        <f t="shared" si="34"/>
        <v>0</v>
      </c>
      <c r="AA43" s="497">
        <f t="shared" si="34"/>
        <v>0</v>
      </c>
      <c r="AB43" s="497">
        <f t="shared" si="34"/>
        <v>0</v>
      </c>
      <c r="AC43" s="498">
        <f t="shared" si="34"/>
        <v>0</v>
      </c>
    </row>
    <row r="44" spans="2:29" s="285" customFormat="1" ht="12.75" thickBot="1">
      <c r="B44" s="480"/>
      <c r="C44" s="481" t="s">
        <v>180</v>
      </c>
      <c r="D44" s="507"/>
      <c r="E44" s="483">
        <f aca="true" t="shared" si="35" ref="E44:R44">E14-E29</f>
        <v>0</v>
      </c>
      <c r="F44" s="484">
        <f t="shared" si="35"/>
        <v>0</v>
      </c>
      <c r="G44" s="484">
        <f t="shared" si="35"/>
        <v>0</v>
      </c>
      <c r="H44" s="484">
        <f t="shared" si="35"/>
        <v>0</v>
      </c>
      <c r="I44" s="484">
        <f t="shared" si="35"/>
        <v>0</v>
      </c>
      <c r="J44" s="484">
        <f t="shared" si="35"/>
        <v>0</v>
      </c>
      <c r="K44" s="484">
        <f t="shared" si="35"/>
        <v>0</v>
      </c>
      <c r="L44" s="484">
        <f t="shared" si="35"/>
        <v>0</v>
      </c>
      <c r="M44" s="484">
        <f t="shared" si="35"/>
        <v>0</v>
      </c>
      <c r="N44" s="484">
        <f t="shared" si="35"/>
        <v>0</v>
      </c>
      <c r="O44" s="484">
        <f t="shared" si="35"/>
        <v>0</v>
      </c>
      <c r="P44" s="484">
        <f t="shared" si="35"/>
        <v>0</v>
      </c>
      <c r="Q44" s="484">
        <f t="shared" si="35"/>
        <v>0</v>
      </c>
      <c r="R44" s="484">
        <f t="shared" si="35"/>
        <v>0</v>
      </c>
      <c r="S44" s="484">
        <f>S14-S29</f>
        <v>0</v>
      </c>
      <c r="T44" s="484">
        <f aca="true" t="shared" si="36" ref="T44:AC44">T14-T29</f>
        <v>0</v>
      </c>
      <c r="U44" s="484">
        <f t="shared" si="36"/>
        <v>0</v>
      </c>
      <c r="V44" s="484">
        <f t="shared" si="36"/>
        <v>0</v>
      </c>
      <c r="W44" s="484">
        <f t="shared" si="36"/>
        <v>0</v>
      </c>
      <c r="X44" s="484">
        <f t="shared" si="36"/>
        <v>0</v>
      </c>
      <c r="Y44" s="484">
        <f t="shared" si="36"/>
        <v>0</v>
      </c>
      <c r="Z44" s="484">
        <f t="shared" si="36"/>
        <v>0</v>
      </c>
      <c r="AA44" s="484">
        <f t="shared" si="36"/>
        <v>0</v>
      </c>
      <c r="AB44" s="484">
        <f t="shared" si="36"/>
        <v>0</v>
      </c>
      <c r="AC44" s="485">
        <f t="shared" si="36"/>
        <v>0</v>
      </c>
    </row>
    <row r="45" spans="2:20" s="285" customFormat="1" ht="12">
      <c r="B45" s="295"/>
      <c r="C45" s="301"/>
      <c r="D45" s="92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83"/>
    </row>
    <row r="46" spans="2:34" s="285" customFormat="1" ht="12" thickBot="1">
      <c r="B46" s="295"/>
      <c r="C46" s="469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</row>
    <row r="47" spans="2:34" s="285" customFormat="1" ht="12">
      <c r="B47" s="391"/>
      <c r="C47" s="392" t="s">
        <v>103</v>
      </c>
      <c r="D47" s="393">
        <f>D7</f>
        <v>0</v>
      </c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</row>
    <row r="48" spans="2:34" s="285" customFormat="1" ht="12">
      <c r="B48" s="394"/>
      <c r="C48" s="395" t="s">
        <v>104</v>
      </c>
      <c r="D48" s="396">
        <f>D22</f>
        <v>0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</row>
    <row r="49" spans="2:34" s="285" customFormat="1" ht="12.75" thickBot="1">
      <c r="B49" s="397"/>
      <c r="C49" s="398" t="s">
        <v>162</v>
      </c>
      <c r="D49" s="399">
        <f>D37</f>
        <v>0</v>
      </c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</row>
    <row r="50" spans="2:34" s="285" customFormat="1" ht="12">
      <c r="B50" s="79"/>
      <c r="C50" s="472"/>
      <c r="D50" s="47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</row>
    <row r="51" spans="2:34" s="285" customFormat="1" ht="12.75" thickBot="1">
      <c r="B51" s="79"/>
      <c r="C51" s="472"/>
      <c r="D51" s="47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</row>
    <row r="52" spans="2:34" s="285" customFormat="1" ht="13.5" customHeight="1" thickBot="1">
      <c r="B52" s="283"/>
      <c r="C52" s="283"/>
      <c r="D52" s="283"/>
      <c r="E52" s="1016" t="s">
        <v>260</v>
      </c>
      <c r="F52" s="1014"/>
      <c r="G52" s="1014"/>
      <c r="H52" s="1014" t="s">
        <v>261</v>
      </c>
      <c r="I52" s="1014"/>
      <c r="J52" s="1015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</row>
    <row r="53" spans="2:34" s="285" customFormat="1" ht="13.5" thickBot="1">
      <c r="B53" s="508" t="s">
        <v>199</v>
      </c>
      <c r="C53" s="508" t="s">
        <v>181</v>
      </c>
      <c r="D53" s="509"/>
      <c r="E53" s="510" t="s">
        <v>257</v>
      </c>
      <c r="F53" s="511" t="s">
        <v>258</v>
      </c>
      <c r="G53" s="511" t="s">
        <v>259</v>
      </c>
      <c r="H53" s="511" t="s">
        <v>257</v>
      </c>
      <c r="I53" s="511" t="s">
        <v>258</v>
      </c>
      <c r="J53" s="512" t="s">
        <v>259</v>
      </c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</row>
    <row r="54" spans="2:34" s="285" customFormat="1" ht="12">
      <c r="B54" s="513"/>
      <c r="C54" s="514" t="s">
        <v>196</v>
      </c>
      <c r="D54" s="515" t="s">
        <v>197</v>
      </c>
      <c r="E54" s="516">
        <v>7.81</v>
      </c>
      <c r="F54" s="517">
        <v>6.49</v>
      </c>
      <c r="G54" s="924">
        <v>5.5</v>
      </c>
      <c r="H54" s="517">
        <v>36.1</v>
      </c>
      <c r="I54" s="517">
        <v>35.33</v>
      </c>
      <c r="J54" s="518">
        <v>33.19</v>
      </c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</row>
    <row r="55" spans="2:34" s="285" customFormat="1" ht="12.75" thickBot="1">
      <c r="B55" s="519"/>
      <c r="C55" s="520" t="s">
        <v>198</v>
      </c>
      <c r="D55" s="521" t="s">
        <v>293</v>
      </c>
      <c r="E55" s="522">
        <v>44.77</v>
      </c>
      <c r="F55" s="523">
        <v>35.59</v>
      </c>
      <c r="G55" s="523">
        <v>30.16</v>
      </c>
      <c r="H55" s="523">
        <v>49.23</v>
      </c>
      <c r="I55" s="523">
        <v>43.88</v>
      </c>
      <c r="J55" s="524">
        <v>33.6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</row>
    <row r="56" spans="1:3" ht="12">
      <c r="A56" s="285"/>
      <c r="C56" s="525" t="s">
        <v>322</v>
      </c>
    </row>
    <row r="57" ht="11.25">
      <c r="A57" s="285"/>
    </row>
    <row r="58" ht="12" thickBot="1">
      <c r="A58" s="285"/>
    </row>
    <row r="59" spans="1:29" ht="12.75">
      <c r="A59" s="285"/>
      <c r="B59" s="108" t="s">
        <v>200</v>
      </c>
      <c r="C59" s="109" t="s">
        <v>201</v>
      </c>
      <c r="D59" s="110"/>
      <c r="E59" s="980">
        <f>E2</f>
        <v>2014</v>
      </c>
      <c r="F59" s="980">
        <f aca="true" t="shared" si="37" ref="F59:S59">E59+1</f>
        <v>2015</v>
      </c>
      <c r="G59" s="980">
        <f t="shared" si="37"/>
        <v>2016</v>
      </c>
      <c r="H59" s="980">
        <f t="shared" si="37"/>
        <v>2017</v>
      </c>
      <c r="I59" s="980">
        <f t="shared" si="37"/>
        <v>2018</v>
      </c>
      <c r="J59" s="980">
        <f t="shared" si="37"/>
        <v>2019</v>
      </c>
      <c r="K59" s="980">
        <f t="shared" si="37"/>
        <v>2020</v>
      </c>
      <c r="L59" s="980">
        <f t="shared" si="37"/>
        <v>2021</v>
      </c>
      <c r="M59" s="980">
        <f t="shared" si="37"/>
        <v>2022</v>
      </c>
      <c r="N59" s="980">
        <f t="shared" si="37"/>
        <v>2023</v>
      </c>
      <c r="O59" s="980">
        <f t="shared" si="37"/>
        <v>2024</v>
      </c>
      <c r="P59" s="980">
        <f t="shared" si="37"/>
        <v>2025</v>
      </c>
      <c r="Q59" s="980">
        <f t="shared" si="37"/>
        <v>2026</v>
      </c>
      <c r="R59" s="980">
        <f t="shared" si="37"/>
        <v>2027</v>
      </c>
      <c r="S59" s="980">
        <f t="shared" si="37"/>
        <v>2028</v>
      </c>
      <c r="T59" s="980">
        <f aca="true" t="shared" si="38" ref="T59:AC59">S59+1</f>
        <v>2029</v>
      </c>
      <c r="U59" s="980">
        <f t="shared" si="38"/>
        <v>2030</v>
      </c>
      <c r="V59" s="980">
        <f t="shared" si="38"/>
        <v>2031</v>
      </c>
      <c r="W59" s="980">
        <f t="shared" si="38"/>
        <v>2032</v>
      </c>
      <c r="X59" s="980">
        <f t="shared" si="38"/>
        <v>2033</v>
      </c>
      <c r="Y59" s="980">
        <f t="shared" si="38"/>
        <v>2034</v>
      </c>
      <c r="Z59" s="980">
        <f t="shared" si="38"/>
        <v>2035</v>
      </c>
      <c r="AA59" s="980">
        <f t="shared" si="38"/>
        <v>2036</v>
      </c>
      <c r="AB59" s="980">
        <f t="shared" si="38"/>
        <v>2037</v>
      </c>
      <c r="AC59" s="992">
        <f t="shared" si="38"/>
        <v>2038</v>
      </c>
    </row>
    <row r="60" spans="1:29" ht="13.5" thickBot="1">
      <c r="A60" s="285"/>
      <c r="B60" s="333" t="s">
        <v>25</v>
      </c>
      <c r="C60" s="334" t="s">
        <v>95</v>
      </c>
      <c r="D60" s="335" t="s">
        <v>83</v>
      </c>
      <c r="E60" s="981"/>
      <c r="F60" s="981"/>
      <c r="G60" s="981"/>
      <c r="H60" s="981"/>
      <c r="I60" s="981"/>
      <c r="J60" s="981"/>
      <c r="K60" s="981"/>
      <c r="L60" s="981"/>
      <c r="M60" s="981"/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1"/>
      <c r="AA60" s="981"/>
      <c r="AB60" s="981"/>
      <c r="AC60" s="993"/>
    </row>
    <row r="61" spans="1:29" ht="12">
      <c r="A61" s="285"/>
      <c r="B61" s="526" t="s">
        <v>262</v>
      </c>
      <c r="C61" s="527" t="s">
        <v>268</v>
      </c>
      <c r="D61" s="338">
        <f>SUM(E61:AC61,E77:AC77)</f>
        <v>0</v>
      </c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88"/>
    </row>
    <row r="62" spans="1:29" ht="12">
      <c r="A62" s="285"/>
      <c r="B62" s="528" t="s">
        <v>263</v>
      </c>
      <c r="C62" s="529" t="s">
        <v>269</v>
      </c>
      <c r="D62" s="341">
        <f>SUM(E62:AC62,E78:AC78)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93"/>
    </row>
    <row r="63" spans="1:29" ht="12">
      <c r="A63" s="285"/>
      <c r="B63" s="528" t="s">
        <v>264</v>
      </c>
      <c r="C63" s="529" t="s">
        <v>270</v>
      </c>
      <c r="D63" s="341">
        <f aca="true" t="shared" si="39" ref="D63:D72">SUM(E63:AC63,E79:AC79)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93"/>
    </row>
    <row r="64" spans="1:29" ht="12">
      <c r="A64" s="285"/>
      <c r="B64" s="528" t="s">
        <v>265</v>
      </c>
      <c r="C64" s="529" t="s">
        <v>271</v>
      </c>
      <c r="D64" s="341">
        <f t="shared" si="39"/>
        <v>0</v>
      </c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93"/>
    </row>
    <row r="65" spans="1:29" ht="12">
      <c r="A65" s="285"/>
      <c r="B65" s="528" t="s">
        <v>266</v>
      </c>
      <c r="C65" s="529" t="s">
        <v>272</v>
      </c>
      <c r="D65" s="341">
        <f t="shared" si="39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93"/>
    </row>
    <row r="66" spans="1:29" ht="12">
      <c r="A66" s="285"/>
      <c r="B66" s="528" t="s">
        <v>267</v>
      </c>
      <c r="C66" s="529" t="s">
        <v>273</v>
      </c>
      <c r="D66" s="341">
        <f t="shared" si="39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93"/>
    </row>
    <row r="67" spans="1:29" ht="12">
      <c r="A67" s="285"/>
      <c r="B67" s="528" t="s">
        <v>262</v>
      </c>
      <c r="C67" s="529" t="s">
        <v>274</v>
      </c>
      <c r="D67" s="341">
        <f t="shared" si="39"/>
        <v>0</v>
      </c>
      <c r="E67" s="7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93"/>
    </row>
    <row r="68" spans="1:29" ht="12">
      <c r="A68" s="285"/>
      <c r="B68" s="528" t="s">
        <v>263</v>
      </c>
      <c r="C68" s="529" t="s">
        <v>275</v>
      </c>
      <c r="D68" s="341">
        <f t="shared" si="39"/>
        <v>0</v>
      </c>
      <c r="E68" s="7"/>
      <c r="F68" s="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93"/>
    </row>
    <row r="69" spans="1:29" ht="12">
      <c r="A69" s="285"/>
      <c r="B69" s="528" t="s">
        <v>264</v>
      </c>
      <c r="C69" s="529" t="s">
        <v>276</v>
      </c>
      <c r="D69" s="341">
        <f t="shared" si="39"/>
        <v>0</v>
      </c>
      <c r="E69" s="7"/>
      <c r="F69" s="7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93"/>
    </row>
    <row r="70" spans="1:29" ht="12">
      <c r="A70" s="285"/>
      <c r="B70" s="528" t="s">
        <v>265</v>
      </c>
      <c r="C70" s="529" t="s">
        <v>277</v>
      </c>
      <c r="D70" s="341">
        <f t="shared" si="39"/>
        <v>0</v>
      </c>
      <c r="E70" s="7"/>
      <c r="F70" s="7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93"/>
    </row>
    <row r="71" spans="1:29" ht="12">
      <c r="A71" s="285"/>
      <c r="B71" s="528" t="s">
        <v>266</v>
      </c>
      <c r="C71" s="529" t="s">
        <v>278</v>
      </c>
      <c r="D71" s="341">
        <f t="shared" si="39"/>
        <v>0</v>
      </c>
      <c r="E71" s="7"/>
      <c r="F71" s="7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93"/>
    </row>
    <row r="72" spans="1:29" ht="12.75" thickBot="1">
      <c r="A72" s="285"/>
      <c r="B72" s="530" t="s">
        <v>267</v>
      </c>
      <c r="C72" s="531" t="s">
        <v>279</v>
      </c>
      <c r="D72" s="532">
        <f t="shared" si="39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468"/>
    </row>
    <row r="73" spans="1:29" ht="11.25">
      <c r="A73" s="285"/>
      <c r="B73" s="289"/>
      <c r="C73" s="285"/>
      <c r="D73" s="465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</row>
    <row r="74" spans="1:29" ht="12" thickBot="1">
      <c r="A74" s="285"/>
      <c r="B74" s="289"/>
      <c r="C74" s="285"/>
      <c r="D74" s="465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</row>
    <row r="75" spans="1:29" ht="12.75">
      <c r="A75" s="285"/>
      <c r="B75" s="108" t="str">
        <f>B59</f>
        <v>4.5.</v>
      </c>
      <c r="C75" s="109" t="str">
        <f>C59</f>
        <v>Celkové výkony</v>
      </c>
      <c r="D75" s="110"/>
      <c r="E75" s="988">
        <f>AC59+1</f>
        <v>2039</v>
      </c>
      <c r="F75" s="980">
        <f aca="true" t="shared" si="40" ref="F75:S75">E75+1</f>
        <v>2040</v>
      </c>
      <c r="G75" s="980">
        <f t="shared" si="40"/>
        <v>2041</v>
      </c>
      <c r="H75" s="980">
        <f t="shared" si="40"/>
        <v>2042</v>
      </c>
      <c r="I75" s="980">
        <f t="shared" si="40"/>
        <v>2043</v>
      </c>
      <c r="J75" s="980">
        <f t="shared" si="40"/>
        <v>2044</v>
      </c>
      <c r="K75" s="980">
        <f t="shared" si="40"/>
        <v>2045</v>
      </c>
      <c r="L75" s="980">
        <f t="shared" si="40"/>
        <v>2046</v>
      </c>
      <c r="M75" s="980">
        <f t="shared" si="40"/>
        <v>2047</v>
      </c>
      <c r="N75" s="980">
        <f t="shared" si="40"/>
        <v>2048</v>
      </c>
      <c r="O75" s="980">
        <f t="shared" si="40"/>
        <v>2049</v>
      </c>
      <c r="P75" s="980">
        <f t="shared" si="40"/>
        <v>2050</v>
      </c>
      <c r="Q75" s="980">
        <f t="shared" si="40"/>
        <v>2051</v>
      </c>
      <c r="R75" s="980">
        <f t="shared" si="40"/>
        <v>2052</v>
      </c>
      <c r="S75" s="980">
        <f t="shared" si="40"/>
        <v>2053</v>
      </c>
      <c r="T75" s="980">
        <f aca="true" t="shared" si="41" ref="T75:AC75">S75+1</f>
        <v>2054</v>
      </c>
      <c r="U75" s="980">
        <f t="shared" si="41"/>
        <v>2055</v>
      </c>
      <c r="V75" s="980">
        <f t="shared" si="41"/>
        <v>2056</v>
      </c>
      <c r="W75" s="980">
        <f t="shared" si="41"/>
        <v>2057</v>
      </c>
      <c r="X75" s="980">
        <f t="shared" si="41"/>
        <v>2058</v>
      </c>
      <c r="Y75" s="980">
        <f t="shared" si="41"/>
        <v>2059</v>
      </c>
      <c r="Z75" s="980">
        <f t="shared" si="41"/>
        <v>2060</v>
      </c>
      <c r="AA75" s="980">
        <f t="shared" si="41"/>
        <v>2061</v>
      </c>
      <c r="AB75" s="980">
        <f t="shared" si="41"/>
        <v>2062</v>
      </c>
      <c r="AC75" s="992">
        <f t="shared" si="41"/>
        <v>2063</v>
      </c>
    </row>
    <row r="76" spans="1:29" ht="13.5" thickBot="1">
      <c r="A76" s="285"/>
      <c r="B76" s="333" t="s">
        <v>26</v>
      </c>
      <c r="C76" s="334" t="s">
        <v>95</v>
      </c>
      <c r="D76" s="486"/>
      <c r="E76" s="1011"/>
      <c r="F76" s="1008"/>
      <c r="G76" s="1008"/>
      <c r="H76" s="1008"/>
      <c r="I76" s="1008"/>
      <c r="J76" s="1008"/>
      <c r="K76" s="1008"/>
      <c r="L76" s="1008"/>
      <c r="M76" s="1008"/>
      <c r="N76" s="1008"/>
      <c r="O76" s="1008"/>
      <c r="P76" s="1008"/>
      <c r="Q76" s="1008"/>
      <c r="R76" s="1008"/>
      <c r="S76" s="1008"/>
      <c r="T76" s="1008"/>
      <c r="U76" s="1008"/>
      <c r="V76" s="1008"/>
      <c r="W76" s="1008"/>
      <c r="X76" s="1008"/>
      <c r="Y76" s="1008"/>
      <c r="Z76" s="1008"/>
      <c r="AA76" s="1008"/>
      <c r="AB76" s="1008"/>
      <c r="AC76" s="968"/>
    </row>
    <row r="77" spans="1:29" ht="12">
      <c r="A77" s="285"/>
      <c r="B77" s="533" t="str">
        <f aca="true" t="shared" si="42" ref="B77:C88">B61</f>
        <v>S1E</v>
      </c>
      <c r="C77" s="529" t="str">
        <f t="shared" si="42"/>
        <v>vlkm - osobní doprava - dráhy TEN-T</v>
      </c>
      <c r="D77" s="487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88"/>
    </row>
    <row r="78" spans="1:29" ht="12">
      <c r="A78" s="285"/>
      <c r="B78" s="533" t="str">
        <f t="shared" si="42"/>
        <v>S1C</v>
      </c>
      <c r="C78" s="529" t="str">
        <f t="shared" si="42"/>
        <v>vlkm - osobní doprava - celostátní</v>
      </c>
      <c r="D78" s="355"/>
      <c r="E78" s="474"/>
      <c r="F78" s="475"/>
      <c r="G78" s="475"/>
      <c r="H78" s="475"/>
      <c r="I78" s="475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3"/>
    </row>
    <row r="79" spans="1:29" ht="12">
      <c r="A79" s="285"/>
      <c r="B79" s="533" t="str">
        <f t="shared" si="42"/>
        <v>S1R</v>
      </c>
      <c r="C79" s="529" t="str">
        <f t="shared" si="42"/>
        <v>vlkm - osobní doprava - regionální</v>
      </c>
      <c r="D79" s="355"/>
      <c r="E79" s="474"/>
      <c r="F79" s="475"/>
      <c r="G79" s="475"/>
      <c r="H79" s="475"/>
      <c r="I79" s="475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3"/>
    </row>
    <row r="80" spans="1:29" ht="12">
      <c r="A80" s="285"/>
      <c r="B80" s="533" t="str">
        <f t="shared" si="42"/>
        <v>S2E</v>
      </c>
      <c r="C80" s="529" t="str">
        <f t="shared" si="42"/>
        <v>hrtkm - osobní doprava - dráhy TEN-T</v>
      </c>
      <c r="D80" s="355"/>
      <c r="E80" s="474"/>
      <c r="F80" s="475"/>
      <c r="G80" s="475"/>
      <c r="H80" s="475"/>
      <c r="I80" s="475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3"/>
    </row>
    <row r="81" spans="1:29" ht="12">
      <c r="A81" s="285"/>
      <c r="B81" s="533" t="str">
        <f t="shared" si="42"/>
        <v>S2C</v>
      </c>
      <c r="C81" s="529" t="str">
        <f t="shared" si="42"/>
        <v>hrtkm - osobní doprava - celostátní</v>
      </c>
      <c r="D81" s="355"/>
      <c r="E81" s="474"/>
      <c r="F81" s="475"/>
      <c r="G81" s="475"/>
      <c r="H81" s="475"/>
      <c r="I81" s="475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3"/>
    </row>
    <row r="82" spans="1:29" ht="12">
      <c r="A82" s="285"/>
      <c r="B82" s="533" t="str">
        <f t="shared" si="42"/>
        <v>S2R</v>
      </c>
      <c r="C82" s="529" t="str">
        <f t="shared" si="42"/>
        <v>hrtkm - osobní doprava - regionální</v>
      </c>
      <c r="D82" s="355"/>
      <c r="E82" s="474"/>
      <c r="F82" s="475"/>
      <c r="G82" s="475"/>
      <c r="H82" s="475"/>
      <c r="I82" s="475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3"/>
    </row>
    <row r="83" spans="1:29" ht="12">
      <c r="A83" s="285"/>
      <c r="B83" s="533" t="str">
        <f t="shared" si="42"/>
        <v>S1E</v>
      </c>
      <c r="C83" s="529" t="str">
        <f t="shared" si="42"/>
        <v>vlkm - nákladní doprava - dráhy TEN-T</v>
      </c>
      <c r="D83" s="355"/>
      <c r="E83" s="474"/>
      <c r="F83" s="475"/>
      <c r="G83" s="475"/>
      <c r="H83" s="475"/>
      <c r="I83" s="475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3"/>
    </row>
    <row r="84" spans="1:29" ht="12">
      <c r="A84" s="285"/>
      <c r="B84" s="533" t="str">
        <f t="shared" si="42"/>
        <v>S1C</v>
      </c>
      <c r="C84" s="529" t="str">
        <f t="shared" si="42"/>
        <v>vlkm - nákladní doprava - celostátní</v>
      </c>
      <c r="D84" s="355"/>
      <c r="E84" s="474"/>
      <c r="F84" s="475"/>
      <c r="G84" s="475"/>
      <c r="H84" s="475"/>
      <c r="I84" s="475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3"/>
    </row>
    <row r="85" spans="1:29" ht="12">
      <c r="A85" s="285"/>
      <c r="B85" s="533" t="str">
        <f t="shared" si="42"/>
        <v>S1R</v>
      </c>
      <c r="C85" s="529" t="str">
        <f t="shared" si="42"/>
        <v>vlkm - nákladní doprava - regionální</v>
      </c>
      <c r="D85" s="355"/>
      <c r="E85" s="474"/>
      <c r="F85" s="475"/>
      <c r="G85" s="475"/>
      <c r="H85" s="475"/>
      <c r="I85" s="475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3"/>
    </row>
    <row r="86" spans="1:29" ht="12">
      <c r="A86" s="285"/>
      <c r="B86" s="533" t="str">
        <f t="shared" si="42"/>
        <v>S2E</v>
      </c>
      <c r="C86" s="529" t="str">
        <f t="shared" si="42"/>
        <v>hrtkm - nákladní doprava - dráhy TEN-T</v>
      </c>
      <c r="D86" s="355"/>
      <c r="E86" s="474"/>
      <c r="F86" s="475"/>
      <c r="G86" s="475"/>
      <c r="H86" s="475"/>
      <c r="I86" s="475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3"/>
    </row>
    <row r="87" spans="1:29" ht="12">
      <c r="A87" s="285"/>
      <c r="B87" s="533" t="str">
        <f t="shared" si="42"/>
        <v>S2C</v>
      </c>
      <c r="C87" s="529" t="str">
        <f t="shared" si="42"/>
        <v>hrtkm - nákladní doprava - celostátní</v>
      </c>
      <c r="D87" s="355"/>
      <c r="E87" s="474"/>
      <c r="F87" s="475"/>
      <c r="G87" s="475"/>
      <c r="H87" s="475"/>
      <c r="I87" s="475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3"/>
    </row>
    <row r="88" spans="1:29" ht="12.75" thickBot="1">
      <c r="A88" s="285"/>
      <c r="B88" s="530" t="str">
        <f t="shared" si="42"/>
        <v>S2R</v>
      </c>
      <c r="C88" s="531" t="str">
        <f t="shared" si="42"/>
        <v>hrtkm - nákladní doprava - regionální</v>
      </c>
      <c r="D88" s="359"/>
      <c r="E88" s="476"/>
      <c r="F88" s="477"/>
      <c r="G88" s="477"/>
      <c r="H88" s="477"/>
      <c r="I88" s="47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8"/>
    </row>
    <row r="89" spans="1:29" ht="12">
      <c r="A89" s="285"/>
      <c r="B89" s="295"/>
      <c r="C89" s="301"/>
      <c r="D89" s="92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</row>
    <row r="90" spans="1:29" ht="12">
      <c r="A90" s="285"/>
      <c r="B90" s="295"/>
      <c r="C90" s="301"/>
      <c r="D90" s="92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</row>
    <row r="91" spans="1:29" ht="12" thickBot="1">
      <c r="A91" s="285"/>
      <c r="B91" s="295"/>
      <c r="C91" s="469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</row>
    <row r="92" spans="1:29" ht="12.75">
      <c r="A92" s="285"/>
      <c r="B92" s="363" t="s">
        <v>204</v>
      </c>
      <c r="C92" s="364" t="s">
        <v>201</v>
      </c>
      <c r="D92" s="488"/>
      <c r="E92" s="976">
        <f>E59</f>
        <v>2014</v>
      </c>
      <c r="F92" s="976">
        <f aca="true" t="shared" si="43" ref="F92:S92">E92+1</f>
        <v>2015</v>
      </c>
      <c r="G92" s="976">
        <f t="shared" si="43"/>
        <v>2016</v>
      </c>
      <c r="H92" s="976">
        <f t="shared" si="43"/>
        <v>2017</v>
      </c>
      <c r="I92" s="976">
        <f t="shared" si="43"/>
        <v>2018</v>
      </c>
      <c r="J92" s="976">
        <f t="shared" si="43"/>
        <v>2019</v>
      </c>
      <c r="K92" s="976">
        <f t="shared" si="43"/>
        <v>2020</v>
      </c>
      <c r="L92" s="976">
        <f t="shared" si="43"/>
        <v>2021</v>
      </c>
      <c r="M92" s="976">
        <f t="shared" si="43"/>
        <v>2022</v>
      </c>
      <c r="N92" s="976">
        <f t="shared" si="43"/>
        <v>2023</v>
      </c>
      <c r="O92" s="976">
        <f t="shared" si="43"/>
        <v>2024</v>
      </c>
      <c r="P92" s="976">
        <f t="shared" si="43"/>
        <v>2025</v>
      </c>
      <c r="Q92" s="976">
        <f t="shared" si="43"/>
        <v>2026</v>
      </c>
      <c r="R92" s="976">
        <f t="shared" si="43"/>
        <v>2027</v>
      </c>
      <c r="S92" s="976">
        <f t="shared" si="43"/>
        <v>2028</v>
      </c>
      <c r="T92" s="976">
        <f aca="true" t="shared" si="44" ref="T92:AC92">S92+1</f>
        <v>2029</v>
      </c>
      <c r="U92" s="976">
        <f t="shared" si="44"/>
        <v>2030</v>
      </c>
      <c r="V92" s="976">
        <f t="shared" si="44"/>
        <v>2031</v>
      </c>
      <c r="W92" s="976">
        <f t="shared" si="44"/>
        <v>2032</v>
      </c>
      <c r="X92" s="976">
        <f t="shared" si="44"/>
        <v>2033</v>
      </c>
      <c r="Y92" s="976">
        <f t="shared" si="44"/>
        <v>2034</v>
      </c>
      <c r="Z92" s="976">
        <f t="shared" si="44"/>
        <v>2035</v>
      </c>
      <c r="AA92" s="976">
        <f t="shared" si="44"/>
        <v>2036</v>
      </c>
      <c r="AB92" s="976">
        <f t="shared" si="44"/>
        <v>2037</v>
      </c>
      <c r="AC92" s="990">
        <f t="shared" si="44"/>
        <v>2038</v>
      </c>
    </row>
    <row r="93" spans="2:29" ht="13.5" thickBot="1">
      <c r="B93" s="366" t="s">
        <v>25</v>
      </c>
      <c r="C93" s="367" t="s">
        <v>100</v>
      </c>
      <c r="D93" s="368" t="s">
        <v>83</v>
      </c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7"/>
      <c r="Q93" s="977"/>
      <c r="R93" s="977"/>
      <c r="S93" s="977"/>
      <c r="T93" s="977"/>
      <c r="U93" s="977"/>
      <c r="V93" s="977"/>
      <c r="W93" s="977"/>
      <c r="X93" s="977"/>
      <c r="Y93" s="977"/>
      <c r="Z93" s="977"/>
      <c r="AA93" s="977"/>
      <c r="AB93" s="977"/>
      <c r="AC93" s="991"/>
    </row>
    <row r="94" spans="2:29" ht="12">
      <c r="B94" s="533" t="str">
        <f aca="true" t="shared" si="45" ref="B94:C105">B77</f>
        <v>S1E</v>
      </c>
      <c r="C94" s="529" t="str">
        <f t="shared" si="45"/>
        <v>vlkm - osobní doprava - dráhy TEN-T</v>
      </c>
      <c r="D94" s="341">
        <f>SUM(E94:AC94,E110:AC110)</f>
        <v>0</v>
      </c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88"/>
    </row>
    <row r="95" spans="2:29" ht="12">
      <c r="B95" s="533" t="str">
        <f t="shared" si="45"/>
        <v>S1C</v>
      </c>
      <c r="C95" s="529" t="str">
        <f t="shared" si="45"/>
        <v>vlkm - osobní doprava - celostátní</v>
      </c>
      <c r="D95" s="341">
        <f>SUM(E95:AC95,E111:AC111)</f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93"/>
    </row>
    <row r="96" spans="2:29" ht="12">
      <c r="B96" s="533" t="str">
        <f t="shared" si="45"/>
        <v>S1R</v>
      </c>
      <c r="C96" s="529" t="str">
        <f t="shared" si="45"/>
        <v>vlkm - osobní doprava - regionální</v>
      </c>
      <c r="D96" s="341">
        <f aca="true" t="shared" si="46" ref="D96:D105">SUM(E96:AC96,E112:AC112)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93"/>
    </row>
    <row r="97" spans="2:29" ht="12">
      <c r="B97" s="533" t="str">
        <f t="shared" si="45"/>
        <v>S2E</v>
      </c>
      <c r="C97" s="529" t="str">
        <f t="shared" si="45"/>
        <v>hrtkm - osobní doprava - dráhy TEN-T</v>
      </c>
      <c r="D97" s="341">
        <f t="shared" si="46"/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93"/>
    </row>
    <row r="98" spans="2:29" ht="12">
      <c r="B98" s="533" t="str">
        <f t="shared" si="45"/>
        <v>S2C</v>
      </c>
      <c r="C98" s="529" t="str">
        <f t="shared" si="45"/>
        <v>hrtkm - osobní doprava - celostátní</v>
      </c>
      <c r="D98" s="341">
        <f t="shared" si="46"/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93"/>
    </row>
    <row r="99" spans="2:29" ht="12">
      <c r="B99" s="533" t="str">
        <f t="shared" si="45"/>
        <v>S2R</v>
      </c>
      <c r="C99" s="529" t="str">
        <f t="shared" si="45"/>
        <v>hrtkm - osobní doprava - regionální</v>
      </c>
      <c r="D99" s="341">
        <f t="shared" si="46"/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93"/>
    </row>
    <row r="100" spans="2:29" ht="12">
      <c r="B100" s="533" t="str">
        <f t="shared" si="45"/>
        <v>S1E</v>
      </c>
      <c r="C100" s="529" t="str">
        <f t="shared" si="45"/>
        <v>vlkm - nákladní doprava - dráhy TEN-T</v>
      </c>
      <c r="D100" s="341">
        <f t="shared" si="46"/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93"/>
    </row>
    <row r="101" spans="2:29" ht="12">
      <c r="B101" s="533" t="str">
        <f t="shared" si="45"/>
        <v>S1C</v>
      </c>
      <c r="C101" s="529" t="str">
        <f t="shared" si="45"/>
        <v>vlkm - nákladní doprava - celostátní</v>
      </c>
      <c r="D101" s="341">
        <f t="shared" si="46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93"/>
    </row>
    <row r="102" spans="2:29" ht="12">
      <c r="B102" s="533" t="str">
        <f t="shared" si="45"/>
        <v>S1R</v>
      </c>
      <c r="C102" s="529" t="str">
        <f t="shared" si="45"/>
        <v>vlkm - nákladní doprava - regionální</v>
      </c>
      <c r="D102" s="341">
        <f t="shared" si="46"/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93"/>
    </row>
    <row r="103" spans="2:29" ht="12">
      <c r="B103" s="533" t="str">
        <f t="shared" si="45"/>
        <v>S2E</v>
      </c>
      <c r="C103" s="529" t="str">
        <f t="shared" si="45"/>
        <v>hrtkm - nákladní doprava - dráhy TEN-T</v>
      </c>
      <c r="D103" s="341">
        <f t="shared" si="46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93"/>
    </row>
    <row r="104" spans="2:29" ht="12">
      <c r="B104" s="533" t="str">
        <f t="shared" si="45"/>
        <v>S2C</v>
      </c>
      <c r="C104" s="529" t="str">
        <f t="shared" si="45"/>
        <v>hrtkm - nákladní doprava - celostátní</v>
      </c>
      <c r="D104" s="341">
        <f t="shared" si="46"/>
        <v>0</v>
      </c>
      <c r="E104" s="3"/>
      <c r="F104" s="3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93"/>
    </row>
    <row r="105" spans="2:29" ht="12.75" thickBot="1">
      <c r="B105" s="530" t="str">
        <f t="shared" si="45"/>
        <v>S2R</v>
      </c>
      <c r="C105" s="531" t="str">
        <f t="shared" si="45"/>
        <v>hrtkm - nákladní doprava - regionální</v>
      </c>
      <c r="D105" s="532">
        <f t="shared" si="4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468"/>
    </row>
    <row r="106" spans="2:29" ht="11.25">
      <c r="B106" s="289"/>
      <c r="C106" s="285"/>
      <c r="D106" s="465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</row>
    <row r="107" spans="2:29" ht="12" thickBot="1">
      <c r="B107" s="289"/>
      <c r="C107" s="285"/>
      <c r="D107" s="465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</row>
    <row r="108" spans="2:29" ht="12.75">
      <c r="B108" s="363" t="str">
        <f>B92</f>
        <v>4.6.</v>
      </c>
      <c r="C108" s="364" t="str">
        <f>C92</f>
        <v>Celkové výkony</v>
      </c>
      <c r="D108" s="488"/>
      <c r="E108" s="986">
        <f>AC92+1</f>
        <v>2039</v>
      </c>
      <c r="F108" s="976">
        <f aca="true" t="shared" si="47" ref="F108:S108">E108+1</f>
        <v>2040</v>
      </c>
      <c r="G108" s="976">
        <f t="shared" si="47"/>
        <v>2041</v>
      </c>
      <c r="H108" s="976">
        <f t="shared" si="47"/>
        <v>2042</v>
      </c>
      <c r="I108" s="976">
        <f t="shared" si="47"/>
        <v>2043</v>
      </c>
      <c r="J108" s="976">
        <f t="shared" si="47"/>
        <v>2044</v>
      </c>
      <c r="K108" s="976">
        <f t="shared" si="47"/>
        <v>2045</v>
      </c>
      <c r="L108" s="976">
        <f t="shared" si="47"/>
        <v>2046</v>
      </c>
      <c r="M108" s="976">
        <f t="shared" si="47"/>
        <v>2047</v>
      </c>
      <c r="N108" s="976">
        <f t="shared" si="47"/>
        <v>2048</v>
      </c>
      <c r="O108" s="976">
        <f t="shared" si="47"/>
        <v>2049</v>
      </c>
      <c r="P108" s="976">
        <f t="shared" si="47"/>
        <v>2050</v>
      </c>
      <c r="Q108" s="976">
        <f t="shared" si="47"/>
        <v>2051</v>
      </c>
      <c r="R108" s="976">
        <f t="shared" si="47"/>
        <v>2052</v>
      </c>
      <c r="S108" s="976">
        <f t="shared" si="47"/>
        <v>2053</v>
      </c>
      <c r="T108" s="976">
        <f aca="true" t="shared" si="48" ref="T108:AC108">S108+1</f>
        <v>2054</v>
      </c>
      <c r="U108" s="976">
        <f t="shared" si="48"/>
        <v>2055</v>
      </c>
      <c r="V108" s="976">
        <f t="shared" si="48"/>
        <v>2056</v>
      </c>
      <c r="W108" s="976">
        <f t="shared" si="48"/>
        <v>2057</v>
      </c>
      <c r="X108" s="976">
        <f t="shared" si="48"/>
        <v>2058</v>
      </c>
      <c r="Y108" s="976">
        <f t="shared" si="48"/>
        <v>2059</v>
      </c>
      <c r="Z108" s="976">
        <f t="shared" si="48"/>
        <v>2060</v>
      </c>
      <c r="AA108" s="976">
        <f t="shared" si="48"/>
        <v>2061</v>
      </c>
      <c r="AB108" s="976">
        <f t="shared" si="48"/>
        <v>2062</v>
      </c>
      <c r="AC108" s="990">
        <f t="shared" si="48"/>
        <v>2063</v>
      </c>
    </row>
    <row r="109" spans="2:29" ht="13.5" thickBot="1">
      <c r="B109" s="366" t="s">
        <v>26</v>
      </c>
      <c r="C109" s="367" t="s">
        <v>100</v>
      </c>
      <c r="D109" s="370"/>
      <c r="E109" s="1012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1007"/>
      <c r="U109" s="1007"/>
      <c r="V109" s="1007"/>
      <c r="W109" s="1007"/>
      <c r="X109" s="1007"/>
      <c r="Y109" s="1007"/>
      <c r="Z109" s="1007"/>
      <c r="AA109" s="1007"/>
      <c r="AB109" s="1007"/>
      <c r="AC109" s="1006"/>
    </row>
    <row r="110" spans="2:29" ht="12">
      <c r="B110" s="533" t="str">
        <f aca="true" t="shared" si="49" ref="B110:C121">B94</f>
        <v>S1E</v>
      </c>
      <c r="C110" s="529" t="str">
        <f t="shared" si="49"/>
        <v>vlkm - osobní doprava - dráhy TEN-T</v>
      </c>
      <c r="D110" s="355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88"/>
    </row>
    <row r="111" spans="2:29" ht="12">
      <c r="B111" s="533" t="str">
        <f t="shared" si="49"/>
        <v>S1C</v>
      </c>
      <c r="C111" s="529" t="str">
        <f t="shared" si="49"/>
        <v>vlkm - osobní doprava - celostátní</v>
      </c>
      <c r="D111" s="355"/>
      <c r="E111" s="474"/>
      <c r="F111" s="475"/>
      <c r="G111" s="475"/>
      <c r="H111" s="475"/>
      <c r="I111" s="475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3"/>
    </row>
    <row r="112" spans="2:29" ht="12">
      <c r="B112" s="533" t="str">
        <f t="shared" si="49"/>
        <v>S1R</v>
      </c>
      <c r="C112" s="529" t="str">
        <f t="shared" si="49"/>
        <v>vlkm - osobní doprava - regionální</v>
      </c>
      <c r="D112" s="355"/>
      <c r="E112" s="474"/>
      <c r="F112" s="475"/>
      <c r="G112" s="475"/>
      <c r="H112" s="475"/>
      <c r="I112" s="475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3"/>
    </row>
    <row r="113" spans="2:29" ht="12">
      <c r="B113" s="533" t="str">
        <f t="shared" si="49"/>
        <v>S2E</v>
      </c>
      <c r="C113" s="529" t="str">
        <f t="shared" si="49"/>
        <v>hrtkm - osobní doprava - dráhy TEN-T</v>
      </c>
      <c r="D113" s="355"/>
      <c r="E113" s="474"/>
      <c r="F113" s="475"/>
      <c r="G113" s="475"/>
      <c r="H113" s="475"/>
      <c r="I113" s="475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3"/>
    </row>
    <row r="114" spans="2:29" ht="12">
      <c r="B114" s="533" t="str">
        <f t="shared" si="49"/>
        <v>S2C</v>
      </c>
      <c r="C114" s="529" t="str">
        <f t="shared" si="49"/>
        <v>hrtkm - osobní doprava - celostátní</v>
      </c>
      <c r="D114" s="355"/>
      <c r="E114" s="474"/>
      <c r="F114" s="475"/>
      <c r="G114" s="475"/>
      <c r="H114" s="475"/>
      <c r="I114" s="475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3"/>
    </row>
    <row r="115" spans="2:29" ht="12">
      <c r="B115" s="533" t="str">
        <f t="shared" si="49"/>
        <v>S2R</v>
      </c>
      <c r="C115" s="529" t="str">
        <f t="shared" si="49"/>
        <v>hrtkm - osobní doprava - regionální</v>
      </c>
      <c r="D115" s="355"/>
      <c r="E115" s="474"/>
      <c r="F115" s="475"/>
      <c r="G115" s="475"/>
      <c r="H115" s="475"/>
      <c r="I115" s="475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3"/>
    </row>
    <row r="116" spans="2:29" ht="12">
      <c r="B116" s="533" t="str">
        <f t="shared" si="49"/>
        <v>S1E</v>
      </c>
      <c r="C116" s="529" t="str">
        <f t="shared" si="49"/>
        <v>vlkm - nákladní doprava - dráhy TEN-T</v>
      </c>
      <c r="D116" s="355"/>
      <c r="E116" s="474"/>
      <c r="F116" s="475"/>
      <c r="G116" s="475"/>
      <c r="H116" s="475"/>
      <c r="I116" s="475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3"/>
    </row>
    <row r="117" spans="2:29" ht="12">
      <c r="B117" s="533" t="str">
        <f t="shared" si="49"/>
        <v>S1C</v>
      </c>
      <c r="C117" s="529" t="str">
        <f t="shared" si="49"/>
        <v>vlkm - nákladní doprava - celostátní</v>
      </c>
      <c r="D117" s="355"/>
      <c r="E117" s="474"/>
      <c r="F117" s="475"/>
      <c r="G117" s="475"/>
      <c r="H117" s="475"/>
      <c r="I117" s="475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3"/>
    </row>
    <row r="118" spans="2:29" ht="12">
      <c r="B118" s="533" t="str">
        <f t="shared" si="49"/>
        <v>S1R</v>
      </c>
      <c r="C118" s="529" t="str">
        <f t="shared" si="49"/>
        <v>vlkm - nákladní doprava - regionální</v>
      </c>
      <c r="D118" s="355"/>
      <c r="E118" s="474"/>
      <c r="F118" s="475"/>
      <c r="G118" s="475"/>
      <c r="H118" s="475"/>
      <c r="I118" s="475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3"/>
    </row>
    <row r="119" spans="2:29" ht="12">
      <c r="B119" s="533" t="str">
        <f t="shared" si="49"/>
        <v>S2E</v>
      </c>
      <c r="C119" s="529" t="str">
        <f t="shared" si="49"/>
        <v>hrtkm - nákladní doprava - dráhy TEN-T</v>
      </c>
      <c r="D119" s="355"/>
      <c r="E119" s="474"/>
      <c r="F119" s="475"/>
      <c r="G119" s="475"/>
      <c r="H119" s="475"/>
      <c r="I119" s="475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3"/>
    </row>
    <row r="120" spans="2:29" ht="12">
      <c r="B120" s="533" t="str">
        <f t="shared" si="49"/>
        <v>S2C</v>
      </c>
      <c r="C120" s="529" t="str">
        <f t="shared" si="49"/>
        <v>hrtkm - nákladní doprava - celostátní</v>
      </c>
      <c r="D120" s="355"/>
      <c r="E120" s="474"/>
      <c r="F120" s="475"/>
      <c r="G120" s="475"/>
      <c r="H120" s="475"/>
      <c r="I120" s="475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3"/>
    </row>
    <row r="121" spans="2:29" ht="12.75" thickBot="1">
      <c r="B121" s="530" t="str">
        <f t="shared" si="49"/>
        <v>S2R</v>
      </c>
      <c r="C121" s="531" t="str">
        <f t="shared" si="49"/>
        <v>hrtkm - nákladní doprava - regionální</v>
      </c>
      <c r="D121" s="359"/>
      <c r="E121" s="476"/>
      <c r="F121" s="477"/>
      <c r="G121" s="477"/>
      <c r="H121" s="477"/>
      <c r="I121" s="47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8"/>
    </row>
    <row r="123" ht="12.75" thickBot="1">
      <c r="B123" s="478"/>
    </row>
    <row r="124" spans="2:16" ht="11.25">
      <c r="B124" s="956" t="s">
        <v>77</v>
      </c>
      <c r="C124" s="957"/>
      <c r="D124" s="957"/>
      <c r="E124" s="957"/>
      <c r="F124" s="957"/>
      <c r="G124" s="957"/>
      <c r="H124" s="957"/>
      <c r="I124" s="957"/>
      <c r="J124" s="957"/>
      <c r="K124" s="957"/>
      <c r="L124" s="957"/>
      <c r="M124" s="957"/>
      <c r="N124" s="957"/>
      <c r="O124" s="957"/>
      <c r="P124" s="958"/>
    </row>
    <row r="125" spans="2:16" ht="12" thickBot="1">
      <c r="B125" s="959"/>
      <c r="C125" s="960"/>
      <c r="D125" s="960"/>
      <c r="E125" s="960"/>
      <c r="F125" s="960"/>
      <c r="G125" s="960"/>
      <c r="H125" s="960"/>
      <c r="I125" s="960"/>
      <c r="J125" s="960"/>
      <c r="K125" s="960"/>
      <c r="L125" s="960"/>
      <c r="M125" s="960"/>
      <c r="N125" s="960"/>
      <c r="O125" s="960"/>
      <c r="P125" s="961"/>
    </row>
    <row r="126" spans="2:16" ht="13.5" thickBot="1">
      <c r="B126" s="534" t="s">
        <v>205</v>
      </c>
      <c r="C126" s="535"/>
      <c r="D126" s="536"/>
      <c r="E126" s="536"/>
      <c r="F126" s="536"/>
      <c r="G126" s="537"/>
      <c r="H126" s="281"/>
      <c r="I126" s="281"/>
      <c r="J126" s="281"/>
      <c r="K126" s="281"/>
      <c r="L126" s="281"/>
      <c r="M126" s="281"/>
      <c r="N126" s="281"/>
      <c r="O126" s="281"/>
      <c r="P126" s="53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253">
    <mergeCell ref="I75:I76"/>
    <mergeCell ref="I92:I93"/>
    <mergeCell ref="B124:P125"/>
    <mergeCell ref="P108:P109"/>
    <mergeCell ref="E108:E109"/>
    <mergeCell ref="F108:F109"/>
    <mergeCell ref="G108:G109"/>
    <mergeCell ref="H108:H109"/>
    <mergeCell ref="J92:J93"/>
    <mergeCell ref="N92:N93"/>
    <mergeCell ref="E92:E93"/>
    <mergeCell ref="F92:F93"/>
    <mergeCell ref="G92:G93"/>
    <mergeCell ref="H92:H93"/>
    <mergeCell ref="I108:I109"/>
    <mergeCell ref="J108:J109"/>
    <mergeCell ref="K108:K109"/>
    <mergeCell ref="Q108:Q109"/>
    <mergeCell ref="N108:N109"/>
    <mergeCell ref="O108:O109"/>
    <mergeCell ref="J75:J76"/>
    <mergeCell ref="K75:K76"/>
    <mergeCell ref="O75:O76"/>
    <mergeCell ref="M108:M109"/>
    <mergeCell ref="K92:K93"/>
    <mergeCell ref="R75:R76"/>
    <mergeCell ref="P75:P76"/>
    <mergeCell ref="S75:S76"/>
    <mergeCell ref="Q92:Q93"/>
    <mergeCell ref="R92:R93"/>
    <mergeCell ref="S92:S93"/>
    <mergeCell ref="H59:H60"/>
    <mergeCell ref="S108:S109"/>
    <mergeCell ref="L108:L109"/>
    <mergeCell ref="O92:O93"/>
    <mergeCell ref="P92:P93"/>
    <mergeCell ref="L92:L93"/>
    <mergeCell ref="M92:M93"/>
    <mergeCell ref="R108:R109"/>
    <mergeCell ref="Q75:Q76"/>
    <mergeCell ref="S59:S60"/>
    <mergeCell ref="L59:L60"/>
    <mergeCell ref="R59:R60"/>
    <mergeCell ref="N75:N76"/>
    <mergeCell ref="P59:P60"/>
    <mergeCell ref="Q59:Q60"/>
    <mergeCell ref="M59:M60"/>
    <mergeCell ref="L75:L76"/>
    <mergeCell ref="M75:M76"/>
    <mergeCell ref="O59:O60"/>
    <mergeCell ref="N59:N60"/>
    <mergeCell ref="J59:J60"/>
    <mergeCell ref="I59:I60"/>
    <mergeCell ref="K59:K60"/>
    <mergeCell ref="E75:E76"/>
    <mergeCell ref="F75:F76"/>
    <mergeCell ref="G75:G76"/>
    <mergeCell ref="H75:H76"/>
    <mergeCell ref="E59:E60"/>
    <mergeCell ref="F59:F60"/>
    <mergeCell ref="G59:G60"/>
    <mergeCell ref="H32:H33"/>
    <mergeCell ref="K39:K40"/>
    <mergeCell ref="N32:N33"/>
    <mergeCell ref="M32:M33"/>
    <mergeCell ref="I32:I33"/>
    <mergeCell ref="J32:J33"/>
    <mergeCell ref="J39:J40"/>
    <mergeCell ref="K32:K33"/>
    <mergeCell ref="L32:L33"/>
    <mergeCell ref="I39:I40"/>
    <mergeCell ref="H52:J52"/>
    <mergeCell ref="E52:G52"/>
    <mergeCell ref="R32:R33"/>
    <mergeCell ref="P32:P33"/>
    <mergeCell ref="Q32:Q33"/>
    <mergeCell ref="O32:O33"/>
    <mergeCell ref="R39:R40"/>
    <mergeCell ref="E32:E33"/>
    <mergeCell ref="F32:F33"/>
    <mergeCell ref="G32:G33"/>
    <mergeCell ref="E39:E40"/>
    <mergeCell ref="F39:F40"/>
    <mergeCell ref="G39:G40"/>
    <mergeCell ref="H39:H40"/>
    <mergeCell ref="E24:E25"/>
    <mergeCell ref="F24:F25"/>
    <mergeCell ref="J24:J25"/>
    <mergeCell ref="G24:G25"/>
    <mergeCell ref="H24:H25"/>
    <mergeCell ref="I24:I25"/>
    <mergeCell ref="S39:S40"/>
    <mergeCell ref="L39:L40"/>
    <mergeCell ref="M39:M40"/>
    <mergeCell ref="N39:N40"/>
    <mergeCell ref="O39:O40"/>
    <mergeCell ref="P39:P40"/>
    <mergeCell ref="Q39:Q40"/>
    <mergeCell ref="K17:K18"/>
    <mergeCell ref="O17:O18"/>
    <mergeCell ref="K24:K25"/>
    <mergeCell ref="L24:L25"/>
    <mergeCell ref="M24:M25"/>
    <mergeCell ref="Q17:Q18"/>
    <mergeCell ref="O24:O25"/>
    <mergeCell ref="R17:R18"/>
    <mergeCell ref="S17:S18"/>
    <mergeCell ref="Q24:Q25"/>
    <mergeCell ref="R24:R25"/>
    <mergeCell ref="S24:S25"/>
    <mergeCell ref="O2:O3"/>
    <mergeCell ref="E17:E18"/>
    <mergeCell ref="F17:F18"/>
    <mergeCell ref="G17:G18"/>
    <mergeCell ref="H17:H18"/>
    <mergeCell ref="I17:I18"/>
    <mergeCell ref="J17:J18"/>
    <mergeCell ref="L17:L18"/>
    <mergeCell ref="M17:M18"/>
    <mergeCell ref="N17:N18"/>
    <mergeCell ref="M2:M3"/>
    <mergeCell ref="N2:N3"/>
    <mergeCell ref="K9:K10"/>
    <mergeCell ref="N9:N10"/>
    <mergeCell ref="K2:K3"/>
    <mergeCell ref="L2:L3"/>
    <mergeCell ref="L9:L10"/>
    <mergeCell ref="M9:M10"/>
    <mergeCell ref="S2:S3"/>
    <mergeCell ref="P9:P10"/>
    <mergeCell ref="Q9:Q10"/>
    <mergeCell ref="Q2:Q3"/>
    <mergeCell ref="R2:R3"/>
    <mergeCell ref="P2:P3"/>
    <mergeCell ref="R9:R10"/>
    <mergeCell ref="E9:E10"/>
    <mergeCell ref="F9:F10"/>
    <mergeCell ref="O9:O10"/>
    <mergeCell ref="S32:S33"/>
    <mergeCell ref="N24:N25"/>
    <mergeCell ref="P24:P25"/>
    <mergeCell ref="G9:G10"/>
    <mergeCell ref="H9:H10"/>
    <mergeCell ref="S9:S10"/>
    <mergeCell ref="P17:P18"/>
    <mergeCell ref="AB9:AB10"/>
    <mergeCell ref="AC9:AC10"/>
    <mergeCell ref="E2:E3"/>
    <mergeCell ref="F2:F3"/>
    <mergeCell ref="G2:G3"/>
    <mergeCell ref="H2:H3"/>
    <mergeCell ref="I9:I10"/>
    <mergeCell ref="J9:J10"/>
    <mergeCell ref="I2:I3"/>
    <mergeCell ref="J2:J3"/>
    <mergeCell ref="U2:U3"/>
    <mergeCell ref="V2:V3"/>
    <mergeCell ref="W2:W3"/>
    <mergeCell ref="AA9:AA10"/>
    <mergeCell ref="X2:X3"/>
    <mergeCell ref="Y2:Y3"/>
    <mergeCell ref="Z2:Z3"/>
    <mergeCell ref="AA2:AA3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T2:T3"/>
    <mergeCell ref="AC24:AC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39:AC40"/>
    <mergeCell ref="T32:T33"/>
    <mergeCell ref="U32:U33"/>
    <mergeCell ref="V32:V33"/>
    <mergeCell ref="W32:W33"/>
    <mergeCell ref="X32:X33"/>
    <mergeCell ref="Y32:Y33"/>
    <mergeCell ref="Z32:Z33"/>
    <mergeCell ref="AC32:AC33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X59:X60"/>
    <mergeCell ref="Y59:Y60"/>
    <mergeCell ref="AB59:AB60"/>
    <mergeCell ref="AC75:AC76"/>
    <mergeCell ref="AC59:AC60"/>
    <mergeCell ref="T75:T76"/>
    <mergeCell ref="U75:U76"/>
    <mergeCell ref="V75:V76"/>
    <mergeCell ref="W75:W76"/>
    <mergeCell ref="X75:X76"/>
    <mergeCell ref="T59:T60"/>
    <mergeCell ref="U59:U60"/>
    <mergeCell ref="V59:V60"/>
    <mergeCell ref="W59:W60"/>
    <mergeCell ref="Z59:Z60"/>
    <mergeCell ref="AA59:AA60"/>
    <mergeCell ref="AA32:AA33"/>
    <mergeCell ref="AB32:AB33"/>
    <mergeCell ref="T92:T93"/>
    <mergeCell ref="U92:U93"/>
    <mergeCell ref="V92:V93"/>
    <mergeCell ref="W92:W93"/>
    <mergeCell ref="AB75:AB76"/>
    <mergeCell ref="AB108:AB109"/>
    <mergeCell ref="X108:X109"/>
    <mergeCell ref="Y108:Y109"/>
    <mergeCell ref="AA75:AA76"/>
    <mergeCell ref="X92:X93"/>
    <mergeCell ref="Y92:Y93"/>
    <mergeCell ref="Y75:Y76"/>
    <mergeCell ref="Z75:Z76"/>
    <mergeCell ref="T108:T109"/>
    <mergeCell ref="U108:U109"/>
    <mergeCell ref="V108:V109"/>
    <mergeCell ref="W108:W109"/>
    <mergeCell ref="AC108:AC109"/>
    <mergeCell ref="Z92:Z93"/>
    <mergeCell ref="AA92:AA93"/>
    <mergeCell ref="AB92:AB93"/>
    <mergeCell ref="AC92:AC93"/>
    <mergeCell ref="Z108:Z109"/>
    <mergeCell ref="AA108:AA109"/>
  </mergeCells>
  <printOptions/>
  <pageMargins left="0.3937007874015748" right="0.15748031496062992" top="0.7874015748031497" bottom="0.7874015748031497" header="0.3937007874015748" footer="0.3937007874015748"/>
  <pageSetup fitToHeight="0" fitToWidth="1" horizontalDpi="600" verticalDpi="600" orientation="landscape" paperSize="9" scale="43" r:id="rId2"/>
  <headerFooter alignWithMargins="0">
    <oddFooter>&amp;L&amp;A&amp;C15.9.2010</oddFooter>
  </headerFooter>
  <ignoredErrors>
    <ignoredError sqref="D43:AC44 D8:D11 D13 D21 D28 D36:D41 D7 D15:D19 D14 D23:D26 D22 D30:AC34 D29 E23:AC25 E15:AC18 E28:AC28 E21:AC21 E13:AC13 E8:AC10 E7:AC7 E14:AC14 E22:AC22 E29:AC29 E36:AC41 E35:AC35 E42:AC42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2:AC3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421875" style="539" customWidth="1"/>
    <col min="2" max="2" width="5.7109375" style="539" customWidth="1"/>
    <col min="3" max="3" width="37.7109375" style="539" customWidth="1"/>
    <col min="4" max="4" width="12.7109375" style="539" customWidth="1"/>
    <col min="5" max="5" width="12.57421875" style="539" customWidth="1"/>
    <col min="6" max="29" width="10.7109375" style="539" customWidth="1"/>
    <col min="30" max="34" width="7.140625" style="539" customWidth="1"/>
    <col min="35" max="16384" width="9.140625" style="539" customWidth="1"/>
  </cols>
  <sheetData>
    <row r="1" ht="12.75" customHeight="1" thickBot="1"/>
    <row r="2" spans="2:29" ht="11.25" customHeight="1">
      <c r="B2" s="554" t="s">
        <v>28</v>
      </c>
      <c r="C2" s="555" t="s">
        <v>115</v>
      </c>
      <c r="D2" s="110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2:29" ht="13.5" thickBot="1">
      <c r="B3" s="556">
        <v>3</v>
      </c>
      <c r="C3" s="557"/>
      <c r="D3" s="558" t="s">
        <v>83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93"/>
    </row>
    <row r="4" spans="2:29" ht="12">
      <c r="B4" s="559"/>
      <c r="C4" s="559" t="s">
        <v>183</v>
      </c>
      <c r="D4" s="560">
        <f>SUM(E4:AC4,E16:AC16)</f>
        <v>0</v>
      </c>
      <c r="E4" s="561">
        <f>IF(E2&lt;=('0 Úvod'!$G$19+'0 Úvod'!$J$19-1),'4 Tržby'!E37,0)</f>
        <v>0</v>
      </c>
      <c r="F4" s="561">
        <f>IF(F2&lt;=('0 Úvod'!$G$19+'0 Úvod'!$J$19-1),'4 Tržby'!F37,0)</f>
        <v>0</v>
      </c>
      <c r="G4" s="561">
        <f>IF(G2&lt;=('0 Úvod'!$G$19+'0 Úvod'!$J$19-1),'4 Tržby'!G37,0)</f>
        <v>0</v>
      </c>
      <c r="H4" s="561">
        <f>IF(H2&lt;=('0 Úvod'!$G$19+'0 Úvod'!$J$19-1),'4 Tržby'!H37,0)</f>
        <v>0</v>
      </c>
      <c r="I4" s="561">
        <f>IF(I2&lt;=('0 Úvod'!$G$19+'0 Úvod'!$J$19-1),'4 Tržby'!I37,0)</f>
        <v>0</v>
      </c>
      <c r="J4" s="561">
        <f>IF(J2&lt;=('0 Úvod'!$G$19+'0 Úvod'!$J$19-1),'4 Tržby'!J37,0)</f>
        <v>0</v>
      </c>
      <c r="K4" s="561">
        <f>IF(K2&lt;=('0 Úvod'!$G$19+'0 Úvod'!$J$19-1),'4 Tržby'!K37,0)</f>
        <v>0</v>
      </c>
      <c r="L4" s="561">
        <f>IF(L2&lt;=('0 Úvod'!$G$19+'0 Úvod'!$J$19-1),'4 Tržby'!L37,0)</f>
        <v>0</v>
      </c>
      <c r="M4" s="561">
        <f>IF(M2&lt;=('0 Úvod'!$G$19+'0 Úvod'!$J$19-1),'4 Tržby'!M37,0)</f>
        <v>0</v>
      </c>
      <c r="N4" s="561">
        <f>IF(N2&lt;=('0 Úvod'!$G$19+'0 Úvod'!$J$19-1),'4 Tržby'!N37,0)</f>
        <v>0</v>
      </c>
      <c r="O4" s="561">
        <f>IF(O2&lt;=('0 Úvod'!$G$19+'0 Úvod'!$J$19-1),'4 Tržby'!O37,0)</f>
        <v>0</v>
      </c>
      <c r="P4" s="561">
        <f>IF(P2&lt;=('0 Úvod'!$G$19+'0 Úvod'!$J$19-1),'4 Tržby'!P37,0)</f>
        <v>0</v>
      </c>
      <c r="Q4" s="561">
        <f>IF(Q2&lt;=('0 Úvod'!$G$19+'0 Úvod'!$J$19-1),'4 Tržby'!Q37,0)</f>
        <v>0</v>
      </c>
      <c r="R4" s="561">
        <f>IF(R2&lt;=('0 Úvod'!$G$19+'0 Úvod'!$J$19-1),'4 Tržby'!R37,0)</f>
        <v>0</v>
      </c>
      <c r="S4" s="561">
        <f>IF(S2&lt;=('0 Úvod'!$G$19+'0 Úvod'!$J$19-1),'4 Tržby'!S37,0)</f>
        <v>0</v>
      </c>
      <c r="T4" s="561">
        <f>IF(T2&lt;=('0 Úvod'!$G$19+'0 Úvod'!$J$19-1),'4 Tržby'!T37,0)</f>
        <v>0</v>
      </c>
      <c r="U4" s="561">
        <f>IF(U2&lt;=('0 Úvod'!$G$19+'0 Úvod'!$J$19-1),'4 Tržby'!U37,0)</f>
        <v>0</v>
      </c>
      <c r="V4" s="561">
        <f>IF(V2&lt;=('0 Úvod'!$G$19+'0 Úvod'!$J$19-1),'4 Tržby'!V37,0)</f>
        <v>0</v>
      </c>
      <c r="W4" s="561">
        <f>IF(W2&lt;=('0 Úvod'!$G$19+'0 Úvod'!$J$19-1),'4 Tržby'!W37,0)</f>
        <v>0</v>
      </c>
      <c r="X4" s="561">
        <f>IF(X2&lt;=('0 Úvod'!$G$19+'0 Úvod'!$J$19-1),'4 Tržby'!X37,0)</f>
        <v>0</v>
      </c>
      <c r="Y4" s="561">
        <f>IF(Y2&lt;=('0 Úvod'!$G$19+'0 Úvod'!$J$19-1),'4 Tržby'!Y37,0)</f>
        <v>0</v>
      </c>
      <c r="Z4" s="561">
        <f>IF(Z2&lt;=('0 Úvod'!$G$19+'0 Úvod'!$J$19-1),'4 Tržby'!Z37,0)</f>
        <v>0</v>
      </c>
      <c r="AA4" s="561">
        <f>IF(AA2&lt;=('0 Úvod'!$G$19+'0 Úvod'!$J$19-1),'4 Tržby'!AA37,0)</f>
        <v>0</v>
      </c>
      <c r="AB4" s="561">
        <f>IF(AB2&lt;=('0 Úvod'!$G$19+'0 Úvod'!$J$19-1),'4 Tržby'!AB37,0)</f>
        <v>0</v>
      </c>
      <c r="AC4" s="562">
        <f>IF(AC2&lt;=('0 Úvod'!$G$19+'0 Úvod'!$J$19-1),'4 Tržby'!AC37,0)</f>
        <v>0</v>
      </c>
    </row>
    <row r="5" spans="2:29" ht="12.75" thickBot="1">
      <c r="B5" s="563"/>
      <c r="C5" s="564" t="s">
        <v>116</v>
      </c>
      <c r="D5" s="565">
        <f>SUM(D4)</f>
        <v>0</v>
      </c>
      <c r="E5" s="566">
        <f>SUM(E4)</f>
        <v>0</v>
      </c>
      <c r="F5" s="566">
        <f aca="true" t="shared" si="2" ref="F5:S5">SUM(F4)</f>
        <v>0</v>
      </c>
      <c r="G5" s="566">
        <f t="shared" si="2"/>
        <v>0</v>
      </c>
      <c r="H5" s="566">
        <f t="shared" si="2"/>
        <v>0</v>
      </c>
      <c r="I5" s="566">
        <f t="shared" si="2"/>
        <v>0</v>
      </c>
      <c r="J5" s="566">
        <f t="shared" si="2"/>
        <v>0</v>
      </c>
      <c r="K5" s="566">
        <f t="shared" si="2"/>
        <v>0</v>
      </c>
      <c r="L5" s="566">
        <f t="shared" si="2"/>
        <v>0</v>
      </c>
      <c r="M5" s="566">
        <f t="shared" si="2"/>
        <v>0</v>
      </c>
      <c r="N5" s="566">
        <f t="shared" si="2"/>
        <v>0</v>
      </c>
      <c r="O5" s="566">
        <f t="shared" si="2"/>
        <v>0</v>
      </c>
      <c r="P5" s="566">
        <f t="shared" si="2"/>
        <v>0</v>
      </c>
      <c r="Q5" s="566">
        <f t="shared" si="2"/>
        <v>0</v>
      </c>
      <c r="R5" s="566">
        <f t="shared" si="2"/>
        <v>0</v>
      </c>
      <c r="S5" s="566">
        <f t="shared" si="2"/>
        <v>0</v>
      </c>
      <c r="T5" s="566">
        <f aca="true" t="shared" si="3" ref="T5:AC5">SUM(T4)</f>
        <v>0</v>
      </c>
      <c r="U5" s="566">
        <f t="shared" si="3"/>
        <v>0</v>
      </c>
      <c r="V5" s="566">
        <f t="shared" si="3"/>
        <v>0</v>
      </c>
      <c r="W5" s="566">
        <f t="shared" si="3"/>
        <v>0</v>
      </c>
      <c r="X5" s="566">
        <f t="shared" si="3"/>
        <v>0</v>
      </c>
      <c r="Y5" s="566">
        <f t="shared" si="3"/>
        <v>0</v>
      </c>
      <c r="Z5" s="566">
        <f t="shared" si="3"/>
        <v>0</v>
      </c>
      <c r="AA5" s="566">
        <f t="shared" si="3"/>
        <v>0</v>
      </c>
      <c r="AB5" s="566">
        <f t="shared" si="3"/>
        <v>0</v>
      </c>
      <c r="AC5" s="567">
        <f t="shared" si="3"/>
        <v>0</v>
      </c>
    </row>
    <row r="6" spans="2:29" ht="12">
      <c r="B6" s="559"/>
      <c r="C6" s="568" t="s">
        <v>117</v>
      </c>
      <c r="D6" s="560">
        <f>SUM(E6:AC6,E18:AC18)</f>
        <v>0</v>
      </c>
      <c r="E6" s="561">
        <f>IF(E2&lt;=('0 Úvod'!$G$19+'0 Úvod'!$J$19-1),'3 Provozní náklady'!E37,0)</f>
        <v>0</v>
      </c>
      <c r="F6" s="561">
        <f>IF(F2&lt;=('0 Úvod'!$G$19+'0 Úvod'!$J$19-1),'3 Provozní náklady'!F37,0)</f>
        <v>0</v>
      </c>
      <c r="G6" s="561">
        <f>IF(G2&lt;=('0 Úvod'!$G$19+'0 Úvod'!$J$19-1),'3 Provozní náklady'!G37,0)</f>
        <v>0</v>
      </c>
      <c r="H6" s="561">
        <f>IF(H2&lt;=('0 Úvod'!$G$19+'0 Úvod'!$J$19-1),'3 Provozní náklady'!H37,0)</f>
        <v>0</v>
      </c>
      <c r="I6" s="561">
        <f>IF(I2&lt;=('0 Úvod'!$G$19+'0 Úvod'!$J$19-1),'3 Provozní náklady'!I37,0)</f>
        <v>0</v>
      </c>
      <c r="J6" s="561">
        <f>IF(J2&lt;=('0 Úvod'!$G$19+'0 Úvod'!$J$19-1),'3 Provozní náklady'!J37,0)</f>
        <v>0</v>
      </c>
      <c r="K6" s="561">
        <f>IF(K2&lt;=('0 Úvod'!$G$19+'0 Úvod'!$J$19-1),'3 Provozní náklady'!K37,0)</f>
        <v>0</v>
      </c>
      <c r="L6" s="561">
        <f>IF(L2&lt;=('0 Úvod'!$G$19+'0 Úvod'!$J$19-1),'3 Provozní náklady'!L37,0)</f>
        <v>0</v>
      </c>
      <c r="M6" s="561">
        <f>IF(M2&lt;=('0 Úvod'!$G$19+'0 Úvod'!$J$19-1),'3 Provozní náklady'!M37,0)</f>
        <v>0</v>
      </c>
      <c r="N6" s="561">
        <f>IF(N2&lt;=('0 Úvod'!$G$19+'0 Úvod'!$J$19-1),'3 Provozní náklady'!N37,0)</f>
        <v>0</v>
      </c>
      <c r="O6" s="561">
        <f>IF(O2&lt;=('0 Úvod'!$G$19+'0 Úvod'!$J$19-1),'3 Provozní náklady'!O37,0)</f>
        <v>0</v>
      </c>
      <c r="P6" s="561">
        <f>IF(P2&lt;=('0 Úvod'!$G$19+'0 Úvod'!$J$19-1),'3 Provozní náklady'!P37,0)</f>
        <v>0</v>
      </c>
      <c r="Q6" s="561">
        <f>IF(Q2&lt;=('0 Úvod'!$G$19+'0 Úvod'!$J$19-1),'3 Provozní náklady'!Q37,0)</f>
        <v>0</v>
      </c>
      <c r="R6" s="561">
        <f>IF(R2&lt;=('0 Úvod'!$G$19+'0 Úvod'!$J$19-1),'3 Provozní náklady'!R37,0)</f>
        <v>0</v>
      </c>
      <c r="S6" s="561">
        <f>IF(S2&lt;=('0 Úvod'!$G$19+'0 Úvod'!$J$19-1),'3 Provozní náklady'!S37,0)</f>
        <v>0</v>
      </c>
      <c r="T6" s="561">
        <f>IF(T2&lt;=('0 Úvod'!$G$19+'0 Úvod'!$J$19-1),'3 Provozní náklady'!T37,0)</f>
        <v>0</v>
      </c>
      <c r="U6" s="561">
        <f>IF(U2&lt;=('0 Úvod'!$G$19+'0 Úvod'!$J$19-1),'3 Provozní náklady'!U37,0)</f>
        <v>0</v>
      </c>
      <c r="V6" s="561">
        <f>IF(V2&lt;=('0 Úvod'!$G$19+'0 Úvod'!$J$19-1),'3 Provozní náklady'!V37,0)</f>
        <v>0</v>
      </c>
      <c r="W6" s="561">
        <f>IF(W2&lt;=('0 Úvod'!$G$19+'0 Úvod'!$J$19-1),'3 Provozní náklady'!W37,0)</f>
        <v>0</v>
      </c>
      <c r="X6" s="561">
        <f>IF(X2&lt;=('0 Úvod'!$G$19+'0 Úvod'!$J$19-1),'3 Provozní náklady'!X37,0)</f>
        <v>0</v>
      </c>
      <c r="Y6" s="561">
        <f>IF(Y2&lt;=('0 Úvod'!$G$19+'0 Úvod'!$J$19-1),'3 Provozní náklady'!Y37,0)</f>
        <v>0</v>
      </c>
      <c r="Z6" s="561">
        <f>IF(Z2&lt;=('0 Úvod'!$G$19+'0 Úvod'!$J$19-1),'3 Provozní náklady'!Z37,0)</f>
        <v>0</v>
      </c>
      <c r="AA6" s="561">
        <f>IF(AA2&lt;=('0 Úvod'!$G$19+'0 Úvod'!$J$19-1),'3 Provozní náklady'!AA37,0)</f>
        <v>0</v>
      </c>
      <c r="AB6" s="561">
        <f>IF(AB2&lt;=('0 Úvod'!$G$19+'0 Úvod'!$J$19-1),'3 Provozní náklady'!AB37,0)</f>
        <v>0</v>
      </c>
      <c r="AC6" s="562">
        <f>IF(AC2&lt;=('0 Úvod'!$G$19+'0 Úvod'!$J$19-1),'3 Provozní náklady'!AC37,0)</f>
        <v>0</v>
      </c>
    </row>
    <row r="7" spans="2:29" ht="12">
      <c r="B7" s="569"/>
      <c r="C7" s="569" t="s">
        <v>184</v>
      </c>
      <c r="D7" s="570">
        <f>SUM(E7:AC7,E19:AC19)</f>
        <v>0</v>
      </c>
      <c r="E7" s="571">
        <f>'1 Celkové investiční náklady'!G11</f>
        <v>0</v>
      </c>
      <c r="F7" s="571">
        <f>'1 Celkové investiční náklady'!H11</f>
        <v>0</v>
      </c>
      <c r="G7" s="571">
        <f>'1 Celkové investiční náklady'!I11</f>
        <v>0</v>
      </c>
      <c r="H7" s="571">
        <f>'1 Celkové investiční náklady'!J11</f>
        <v>0</v>
      </c>
      <c r="I7" s="571">
        <f>'1 Celkové investiční náklady'!K11</f>
        <v>0</v>
      </c>
      <c r="J7" s="571">
        <f>'1 Celkové investiční náklady'!L11</f>
        <v>0</v>
      </c>
      <c r="K7" s="571">
        <f>'1 Celkové investiční náklady'!M11</f>
        <v>0</v>
      </c>
      <c r="L7" s="571">
        <f>'1 Celkové investiční náklady'!N11</f>
        <v>0</v>
      </c>
      <c r="M7" s="571">
        <f>'1 Celkové investiční náklady'!O11</f>
        <v>0</v>
      </c>
      <c r="N7" s="571">
        <f>'1 Celkové investiční náklady'!P11</f>
        <v>0</v>
      </c>
      <c r="O7" s="571">
        <f>'1 Celkové investiční náklady'!Q11</f>
        <v>0</v>
      </c>
      <c r="P7" s="571">
        <f>'1 Celkové investiční náklady'!R11</f>
        <v>0</v>
      </c>
      <c r="Q7" s="571">
        <f>'1 Celkové investiční náklady'!S11</f>
        <v>0</v>
      </c>
      <c r="R7" s="571">
        <f>'1 Celkové investiční náklady'!T11</f>
        <v>0</v>
      </c>
      <c r="S7" s="571">
        <f>'1 Celkové investiční náklady'!U11</f>
        <v>0</v>
      </c>
      <c r="T7" s="571">
        <f>'1 Celkové investiční náklady'!V11</f>
        <v>0</v>
      </c>
      <c r="U7" s="571">
        <f>'1 Celkové investiční náklady'!W11</f>
        <v>0</v>
      </c>
      <c r="V7" s="571">
        <f>'1 Celkové investiční náklady'!X11</f>
        <v>0</v>
      </c>
      <c r="W7" s="571">
        <f>'1 Celkové investiční náklady'!Y11</f>
        <v>0</v>
      </c>
      <c r="X7" s="571">
        <f>'1 Celkové investiční náklady'!Z11</f>
        <v>0</v>
      </c>
      <c r="Y7" s="571">
        <f>'1 Celkové investiční náklady'!AA11</f>
        <v>0</v>
      </c>
      <c r="Z7" s="571">
        <f>'1 Celkové investiční náklady'!AB11</f>
        <v>0</v>
      </c>
      <c r="AA7" s="571">
        <f>'1 Celkové investiční náklady'!AC11</f>
        <v>0</v>
      </c>
      <c r="AB7" s="571">
        <f>'1 Celkové investiční náklady'!AD11</f>
        <v>0</v>
      </c>
      <c r="AC7" s="572">
        <f>'1 Celkové investiční náklady'!AE11</f>
        <v>0</v>
      </c>
    </row>
    <row r="8" spans="2:29" ht="12">
      <c r="B8" s="569"/>
      <c r="C8" s="569" t="s">
        <v>185</v>
      </c>
      <c r="D8" s="570" t="e">
        <f>SUM(E8:AC8,E20:AC20)</f>
        <v>#DIV/0!</v>
      </c>
      <c r="E8" s="571">
        <f>-1*'2 Zůstatková hodnota'!E16</f>
        <v>0</v>
      </c>
      <c r="F8" s="571">
        <f>-1*'2 Zůstatková hodnota'!F16</f>
        <v>0</v>
      </c>
      <c r="G8" s="571">
        <f>-1*'2 Zůstatková hodnota'!G16</f>
        <v>0</v>
      </c>
      <c r="H8" s="571">
        <f>-1*'2 Zůstatková hodnota'!H16</f>
        <v>0</v>
      </c>
      <c r="I8" s="571">
        <f>-1*'2 Zůstatková hodnota'!I16</f>
        <v>0</v>
      </c>
      <c r="J8" s="571">
        <f>-1*'2 Zůstatková hodnota'!J16</f>
        <v>0</v>
      </c>
      <c r="K8" s="571">
        <f>-1*'2 Zůstatková hodnota'!K16</f>
        <v>0</v>
      </c>
      <c r="L8" s="571">
        <f>-1*'2 Zůstatková hodnota'!L16</f>
        <v>0</v>
      </c>
      <c r="M8" s="571">
        <f>-1*'2 Zůstatková hodnota'!M16</f>
        <v>0</v>
      </c>
      <c r="N8" s="571">
        <f>-1*'2 Zůstatková hodnota'!N16</f>
        <v>0</v>
      </c>
      <c r="O8" s="571">
        <f>-1*'2 Zůstatková hodnota'!O16</f>
        <v>0</v>
      </c>
      <c r="P8" s="571">
        <f>-1*'2 Zůstatková hodnota'!P16</f>
        <v>0</v>
      </c>
      <c r="Q8" s="571">
        <f>-1*'2 Zůstatková hodnota'!Q16</f>
        <v>0</v>
      </c>
      <c r="R8" s="571">
        <f>-1*'2 Zůstatková hodnota'!R16</f>
        <v>0</v>
      </c>
      <c r="S8" s="571">
        <f>-1*'2 Zůstatková hodnota'!S16</f>
        <v>0</v>
      </c>
      <c r="T8" s="571">
        <f>-1*'2 Zůstatková hodnota'!T16</f>
        <v>0</v>
      </c>
      <c r="U8" s="571">
        <f>-1*'2 Zůstatková hodnota'!U16</f>
        <v>0</v>
      </c>
      <c r="V8" s="571">
        <f>-1*'2 Zůstatková hodnota'!V16</f>
        <v>0</v>
      </c>
      <c r="W8" s="571">
        <f>-1*'2 Zůstatková hodnota'!W16</f>
        <v>0</v>
      </c>
      <c r="X8" s="571">
        <f>-1*'2 Zůstatková hodnota'!X16</f>
        <v>0</v>
      </c>
      <c r="Y8" s="571">
        <f>-1*'2 Zůstatková hodnota'!Y16</f>
        <v>0</v>
      </c>
      <c r="Z8" s="571">
        <f>-1*'2 Zůstatková hodnota'!Z16</f>
        <v>0</v>
      </c>
      <c r="AA8" s="571">
        <f>-1*'2 Zůstatková hodnota'!AA16</f>
        <v>0</v>
      </c>
      <c r="AB8" s="571">
        <f>-1*'2 Zůstatková hodnota'!AB16</f>
        <v>0</v>
      </c>
      <c r="AC8" s="572">
        <f>-1*'2 Zůstatková hodnota'!AC16</f>
        <v>0</v>
      </c>
    </row>
    <row r="9" spans="2:29" ht="12.75" thickBot="1">
      <c r="B9" s="573"/>
      <c r="C9" s="574" t="s">
        <v>118</v>
      </c>
      <c r="D9" s="575" t="e">
        <f>SUM(D6:D8)</f>
        <v>#DIV/0!</v>
      </c>
      <c r="E9" s="576">
        <f>SUM(E6:E8)</f>
        <v>0</v>
      </c>
      <c r="F9" s="576">
        <f aca="true" t="shared" si="4" ref="F9:S9">SUM(F6:F8)</f>
        <v>0</v>
      </c>
      <c r="G9" s="576">
        <f t="shared" si="4"/>
        <v>0</v>
      </c>
      <c r="H9" s="576">
        <f t="shared" si="4"/>
        <v>0</v>
      </c>
      <c r="I9" s="576">
        <f t="shared" si="4"/>
        <v>0</v>
      </c>
      <c r="J9" s="576">
        <f t="shared" si="4"/>
        <v>0</v>
      </c>
      <c r="K9" s="576">
        <f t="shared" si="4"/>
        <v>0</v>
      </c>
      <c r="L9" s="576">
        <f t="shared" si="4"/>
        <v>0</v>
      </c>
      <c r="M9" s="576">
        <f t="shared" si="4"/>
        <v>0</v>
      </c>
      <c r="N9" s="576">
        <f t="shared" si="4"/>
        <v>0</v>
      </c>
      <c r="O9" s="576">
        <f t="shared" si="4"/>
        <v>0</v>
      </c>
      <c r="P9" s="576">
        <f t="shared" si="4"/>
        <v>0</v>
      </c>
      <c r="Q9" s="576">
        <f t="shared" si="4"/>
        <v>0</v>
      </c>
      <c r="R9" s="576">
        <f t="shared" si="4"/>
        <v>0</v>
      </c>
      <c r="S9" s="576">
        <f t="shared" si="4"/>
        <v>0</v>
      </c>
      <c r="T9" s="576">
        <f aca="true" t="shared" si="5" ref="T9:AC9">SUM(T6:T8)</f>
        <v>0</v>
      </c>
      <c r="U9" s="576">
        <f t="shared" si="5"/>
        <v>0</v>
      </c>
      <c r="V9" s="576">
        <f t="shared" si="5"/>
        <v>0</v>
      </c>
      <c r="W9" s="576">
        <f t="shared" si="5"/>
        <v>0</v>
      </c>
      <c r="X9" s="576">
        <f t="shared" si="5"/>
        <v>0</v>
      </c>
      <c r="Y9" s="576">
        <f t="shared" si="5"/>
        <v>0</v>
      </c>
      <c r="Z9" s="576">
        <f t="shared" si="5"/>
        <v>0</v>
      </c>
      <c r="AA9" s="576">
        <f t="shared" si="5"/>
        <v>0</v>
      </c>
      <c r="AB9" s="576">
        <f t="shared" si="5"/>
        <v>0</v>
      </c>
      <c r="AC9" s="577">
        <f t="shared" si="5"/>
        <v>0</v>
      </c>
    </row>
    <row r="10" spans="2:29" ht="12">
      <c r="B10" s="563"/>
      <c r="C10" s="564" t="s">
        <v>1</v>
      </c>
      <c r="D10" s="565"/>
      <c r="E10" s="566">
        <f aca="true" t="shared" si="6" ref="E10:S10">E5-E9</f>
        <v>0</v>
      </c>
      <c r="F10" s="566">
        <f t="shared" si="6"/>
        <v>0</v>
      </c>
      <c r="G10" s="566">
        <f t="shared" si="6"/>
        <v>0</v>
      </c>
      <c r="H10" s="566">
        <f t="shared" si="6"/>
        <v>0</v>
      </c>
      <c r="I10" s="566">
        <f t="shared" si="6"/>
        <v>0</v>
      </c>
      <c r="J10" s="566">
        <f t="shared" si="6"/>
        <v>0</v>
      </c>
      <c r="K10" s="566">
        <f t="shared" si="6"/>
        <v>0</v>
      </c>
      <c r="L10" s="566">
        <f t="shared" si="6"/>
        <v>0</v>
      </c>
      <c r="M10" s="566">
        <f t="shared" si="6"/>
        <v>0</v>
      </c>
      <c r="N10" s="566">
        <f t="shared" si="6"/>
        <v>0</v>
      </c>
      <c r="O10" s="566">
        <f t="shared" si="6"/>
        <v>0</v>
      </c>
      <c r="P10" s="566">
        <f t="shared" si="6"/>
        <v>0</v>
      </c>
      <c r="Q10" s="566">
        <f t="shared" si="6"/>
        <v>0</v>
      </c>
      <c r="R10" s="566">
        <f t="shared" si="6"/>
        <v>0</v>
      </c>
      <c r="S10" s="566">
        <f t="shared" si="6"/>
        <v>0</v>
      </c>
      <c r="T10" s="566">
        <f aca="true" t="shared" si="7" ref="T10:AC10">T5-T9</f>
        <v>0</v>
      </c>
      <c r="U10" s="566">
        <f t="shared" si="7"/>
        <v>0</v>
      </c>
      <c r="V10" s="566">
        <f t="shared" si="7"/>
        <v>0</v>
      </c>
      <c r="W10" s="566">
        <f t="shared" si="7"/>
        <v>0</v>
      </c>
      <c r="X10" s="566">
        <f t="shared" si="7"/>
        <v>0</v>
      </c>
      <c r="Y10" s="566">
        <f t="shared" si="7"/>
        <v>0</v>
      </c>
      <c r="Z10" s="566">
        <f t="shared" si="7"/>
        <v>0</v>
      </c>
      <c r="AA10" s="566">
        <f t="shared" si="7"/>
        <v>0</v>
      </c>
      <c r="AB10" s="566">
        <f t="shared" si="7"/>
        <v>0</v>
      </c>
      <c r="AC10" s="567">
        <f t="shared" si="7"/>
        <v>0</v>
      </c>
    </row>
    <row r="11" spans="1:29" ht="12">
      <c r="A11" s="541"/>
      <c r="B11" s="578"/>
      <c r="C11" s="569" t="s">
        <v>47</v>
      </c>
      <c r="D11" s="579">
        <f>'0 Úvod'!D21</f>
        <v>0.05</v>
      </c>
      <c r="E11" s="580">
        <v>1</v>
      </c>
      <c r="F11" s="580">
        <f>E11/(1+$D$11)</f>
        <v>0.9523809523809523</v>
      </c>
      <c r="G11" s="580">
        <f>F11/(1+$D$11)</f>
        <v>0.9070294784580498</v>
      </c>
      <c r="H11" s="580">
        <f>G11*1/(1+$D$11)</f>
        <v>0.863837598531476</v>
      </c>
      <c r="I11" s="580">
        <f>H11*1/(1+$D$11)</f>
        <v>0.8227024747918819</v>
      </c>
      <c r="J11" s="580">
        <f aca="true" t="shared" si="8" ref="J11:S11">I11*1/(1+$D$11)</f>
        <v>0.7835261664684589</v>
      </c>
      <c r="K11" s="580">
        <f t="shared" si="8"/>
        <v>0.7462153966366274</v>
      </c>
      <c r="L11" s="580">
        <f t="shared" si="8"/>
        <v>0.7106813301301212</v>
      </c>
      <c r="M11" s="580">
        <f t="shared" si="8"/>
        <v>0.6768393620286869</v>
      </c>
      <c r="N11" s="580">
        <f t="shared" si="8"/>
        <v>0.644608916217797</v>
      </c>
      <c r="O11" s="580">
        <f t="shared" si="8"/>
        <v>0.6139132535407591</v>
      </c>
      <c r="P11" s="580">
        <f t="shared" si="8"/>
        <v>0.5846792890864372</v>
      </c>
      <c r="Q11" s="580">
        <f t="shared" si="8"/>
        <v>0.5568374181775592</v>
      </c>
      <c r="R11" s="580">
        <f t="shared" si="8"/>
        <v>0.5303213506452944</v>
      </c>
      <c r="S11" s="580">
        <f t="shared" si="8"/>
        <v>0.5050679529955184</v>
      </c>
      <c r="T11" s="580">
        <f aca="true" t="shared" si="9" ref="T11:AC11">S11*1/(1+$D$11)</f>
        <v>0.48101709809096993</v>
      </c>
      <c r="U11" s="580">
        <f t="shared" si="9"/>
        <v>0.45811152199139993</v>
      </c>
      <c r="V11" s="580">
        <f t="shared" si="9"/>
        <v>0.43629668761085705</v>
      </c>
      <c r="W11" s="580">
        <f t="shared" si="9"/>
        <v>0.4155206548674829</v>
      </c>
      <c r="X11" s="580">
        <f t="shared" si="9"/>
        <v>0.3957339570166504</v>
      </c>
      <c r="Y11" s="580">
        <f t="shared" si="9"/>
        <v>0.37688948287300034</v>
      </c>
      <c r="Z11" s="580">
        <f t="shared" si="9"/>
        <v>0.3589423646409527</v>
      </c>
      <c r="AA11" s="580">
        <f t="shared" si="9"/>
        <v>0.3418498710866216</v>
      </c>
      <c r="AB11" s="580">
        <f t="shared" si="9"/>
        <v>0.3255713057967825</v>
      </c>
      <c r="AC11" s="581">
        <f t="shared" si="9"/>
        <v>0.31006791028265</v>
      </c>
    </row>
    <row r="12" spans="1:29" s="540" customFormat="1" ht="12.75" thickBot="1">
      <c r="A12" s="542"/>
      <c r="B12" s="582"/>
      <c r="C12" s="583" t="s">
        <v>119</v>
      </c>
      <c r="D12" s="584" t="e">
        <f>SUM(E12:AC12,E24:AC24)</f>
        <v>#DIV/0!</v>
      </c>
      <c r="E12" s="585">
        <f>E10*E11</f>
        <v>0</v>
      </c>
      <c r="F12" s="585">
        <f aca="true" t="shared" si="10" ref="F12:S12">F10*F11</f>
        <v>0</v>
      </c>
      <c r="G12" s="585">
        <f t="shared" si="10"/>
        <v>0</v>
      </c>
      <c r="H12" s="585">
        <f t="shared" si="10"/>
        <v>0</v>
      </c>
      <c r="I12" s="585">
        <f t="shared" si="10"/>
        <v>0</v>
      </c>
      <c r="J12" s="585">
        <f t="shared" si="10"/>
        <v>0</v>
      </c>
      <c r="K12" s="585">
        <f t="shared" si="10"/>
        <v>0</v>
      </c>
      <c r="L12" s="585">
        <f t="shared" si="10"/>
        <v>0</v>
      </c>
      <c r="M12" s="585">
        <f t="shared" si="10"/>
        <v>0</v>
      </c>
      <c r="N12" s="585">
        <f t="shared" si="10"/>
        <v>0</v>
      </c>
      <c r="O12" s="585">
        <f t="shared" si="10"/>
        <v>0</v>
      </c>
      <c r="P12" s="585">
        <f t="shared" si="10"/>
        <v>0</v>
      </c>
      <c r="Q12" s="585">
        <f t="shared" si="10"/>
        <v>0</v>
      </c>
      <c r="R12" s="585">
        <f t="shared" si="10"/>
        <v>0</v>
      </c>
      <c r="S12" s="585">
        <f t="shared" si="10"/>
        <v>0</v>
      </c>
      <c r="T12" s="585">
        <f aca="true" t="shared" si="11" ref="T12:AC12">T10*T11</f>
        <v>0</v>
      </c>
      <c r="U12" s="585">
        <f t="shared" si="11"/>
        <v>0</v>
      </c>
      <c r="V12" s="585">
        <f t="shared" si="11"/>
        <v>0</v>
      </c>
      <c r="W12" s="585">
        <f t="shared" si="11"/>
        <v>0</v>
      </c>
      <c r="X12" s="585">
        <f t="shared" si="11"/>
        <v>0</v>
      </c>
      <c r="Y12" s="585">
        <f t="shared" si="11"/>
        <v>0</v>
      </c>
      <c r="Z12" s="585">
        <f t="shared" si="11"/>
        <v>0</v>
      </c>
      <c r="AA12" s="585">
        <f t="shared" si="11"/>
        <v>0</v>
      </c>
      <c r="AB12" s="585">
        <f t="shared" si="11"/>
        <v>0</v>
      </c>
      <c r="AC12" s="586">
        <f t="shared" si="11"/>
        <v>0</v>
      </c>
    </row>
    <row r="13" spans="4:28" ht="12" customHeight="1" thickBot="1">
      <c r="D13" s="543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</row>
    <row r="14" spans="1:29" ht="11.25" customHeight="1">
      <c r="A14" s="544"/>
      <c r="B14" s="108" t="s">
        <v>28</v>
      </c>
      <c r="C14" s="109" t="s">
        <v>115</v>
      </c>
      <c r="D14" s="110"/>
      <c r="E14" s="988">
        <f>AC2+1</f>
        <v>2039</v>
      </c>
      <c r="F14" s="980">
        <f aca="true" t="shared" si="12" ref="F14:S14">E14+1</f>
        <v>2040</v>
      </c>
      <c r="G14" s="980">
        <f t="shared" si="12"/>
        <v>2041</v>
      </c>
      <c r="H14" s="980">
        <f t="shared" si="12"/>
        <v>2042</v>
      </c>
      <c r="I14" s="980">
        <f t="shared" si="12"/>
        <v>2043</v>
      </c>
      <c r="J14" s="980">
        <f t="shared" si="12"/>
        <v>2044</v>
      </c>
      <c r="K14" s="980">
        <f t="shared" si="12"/>
        <v>2045</v>
      </c>
      <c r="L14" s="980">
        <f t="shared" si="12"/>
        <v>2046</v>
      </c>
      <c r="M14" s="980">
        <f t="shared" si="12"/>
        <v>2047</v>
      </c>
      <c r="N14" s="980">
        <f t="shared" si="12"/>
        <v>2048</v>
      </c>
      <c r="O14" s="980">
        <f t="shared" si="12"/>
        <v>2049</v>
      </c>
      <c r="P14" s="980">
        <f t="shared" si="12"/>
        <v>2050</v>
      </c>
      <c r="Q14" s="980">
        <f t="shared" si="12"/>
        <v>2051</v>
      </c>
      <c r="R14" s="980">
        <f t="shared" si="12"/>
        <v>2052</v>
      </c>
      <c r="S14" s="980">
        <f t="shared" si="12"/>
        <v>2053</v>
      </c>
      <c r="T14" s="980">
        <f aca="true" t="shared" si="13" ref="T14:AC14">S14+1</f>
        <v>2054</v>
      </c>
      <c r="U14" s="980">
        <f t="shared" si="13"/>
        <v>2055</v>
      </c>
      <c r="V14" s="980">
        <f t="shared" si="13"/>
        <v>2056</v>
      </c>
      <c r="W14" s="980">
        <f t="shared" si="13"/>
        <v>2057</v>
      </c>
      <c r="X14" s="980">
        <f t="shared" si="13"/>
        <v>2058</v>
      </c>
      <c r="Y14" s="980">
        <f t="shared" si="13"/>
        <v>2059</v>
      </c>
      <c r="Z14" s="980">
        <f t="shared" si="13"/>
        <v>2060</v>
      </c>
      <c r="AA14" s="980">
        <f t="shared" si="13"/>
        <v>2061</v>
      </c>
      <c r="AB14" s="980">
        <f t="shared" si="13"/>
        <v>2062</v>
      </c>
      <c r="AC14" s="992">
        <f t="shared" si="13"/>
        <v>2063</v>
      </c>
    </row>
    <row r="15" spans="1:29" ht="12.75" customHeight="1" thickBot="1">
      <c r="A15" s="545"/>
      <c r="B15" s="333" t="s">
        <v>26</v>
      </c>
      <c r="C15" s="587"/>
      <c r="D15" s="136"/>
      <c r="E15" s="989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93"/>
    </row>
    <row r="16" spans="2:29" ht="12">
      <c r="B16" s="559"/>
      <c r="C16" s="588" t="str">
        <f aca="true" t="shared" si="14" ref="C16:C24">C4</f>
        <v>Celkové přírůstkové provozní příjmy</v>
      </c>
      <c r="D16" s="589"/>
      <c r="E16" s="561">
        <f>IF(E14&lt;=('0 Úvod'!$G$19+'0 Úvod'!$J$19-1),'4 Tržby'!E44,0)</f>
        <v>0</v>
      </c>
      <c r="F16" s="561">
        <f>IF(F14&lt;=('0 Úvod'!$G$19+'0 Úvod'!$J$19-1),'4 Tržby'!F44,0)</f>
        <v>0</v>
      </c>
      <c r="G16" s="561">
        <f>IF(G14&lt;=('0 Úvod'!$G$19+'0 Úvod'!$J$19-1),'4 Tržby'!G44,0)</f>
        <v>0</v>
      </c>
      <c r="H16" s="561">
        <f>IF(H14&lt;=('0 Úvod'!$G$19+'0 Úvod'!$J$19-1),'4 Tržby'!H44,0)</f>
        <v>0</v>
      </c>
      <c r="I16" s="561">
        <f>IF(I14&lt;=('0 Úvod'!$G$19+'0 Úvod'!$J$19-1),'4 Tržby'!I44,0)</f>
        <v>0</v>
      </c>
      <c r="J16" s="561">
        <f>IF(J14&lt;=('0 Úvod'!$G$19+'0 Úvod'!$J$19-1),'4 Tržby'!J44,0)</f>
        <v>0</v>
      </c>
      <c r="K16" s="561">
        <f>IF(K14&lt;=('0 Úvod'!$G$19+'0 Úvod'!$J$19-1),'4 Tržby'!K44,0)</f>
        <v>0</v>
      </c>
      <c r="L16" s="561">
        <f>IF(L14&lt;=('0 Úvod'!$G$19+'0 Úvod'!$J$19-1),'4 Tržby'!L44,0)</f>
        <v>0</v>
      </c>
      <c r="M16" s="561">
        <f>IF(M14&lt;=('0 Úvod'!$G$19+'0 Úvod'!$J$19-1),'4 Tržby'!M44,0)</f>
        <v>0</v>
      </c>
      <c r="N16" s="561">
        <f>IF(N14&lt;=('0 Úvod'!$G$19+'0 Úvod'!$J$19-1),'4 Tržby'!N44,0)</f>
        <v>0</v>
      </c>
      <c r="O16" s="561">
        <f>IF(O14&lt;=('0 Úvod'!$G$19+'0 Úvod'!$J$19-1),'4 Tržby'!O44,0)</f>
        <v>0</v>
      </c>
      <c r="P16" s="561">
        <f>IF(P14&lt;=('0 Úvod'!$G$19+'0 Úvod'!$J$19-1),'4 Tržby'!P44,0)</f>
        <v>0</v>
      </c>
      <c r="Q16" s="561">
        <f>IF(Q14&lt;=('0 Úvod'!$G$19+'0 Úvod'!$J$19-1),'4 Tržby'!Q44,0)</f>
        <v>0</v>
      </c>
      <c r="R16" s="561">
        <f>IF(R14&lt;=('0 Úvod'!$G$19+'0 Úvod'!$J$19-1),'4 Tržby'!R44,0)</f>
        <v>0</v>
      </c>
      <c r="S16" s="561">
        <f>IF(S14&lt;=('0 Úvod'!$G$19+'0 Úvod'!$J$19-1),'4 Tržby'!S44,0)</f>
        <v>0</v>
      </c>
      <c r="T16" s="561">
        <f>IF(T14&lt;=('0 Úvod'!$G$19+'0 Úvod'!$J$19-1),'4 Tržby'!T44,0)</f>
        <v>0</v>
      </c>
      <c r="U16" s="561">
        <f>IF(U14&lt;=('0 Úvod'!$G$19+'0 Úvod'!$J$19-1),'4 Tržby'!U44,0)</f>
        <v>0</v>
      </c>
      <c r="V16" s="561">
        <f>IF(V14&lt;=('0 Úvod'!$G$19+'0 Úvod'!$J$19-1),'4 Tržby'!V44,0)</f>
        <v>0</v>
      </c>
      <c r="W16" s="561">
        <f>IF(W14&lt;=('0 Úvod'!$G$19+'0 Úvod'!$J$19-1),'4 Tržby'!W44,0)</f>
        <v>0</v>
      </c>
      <c r="X16" s="561">
        <f>IF(X14&lt;=('0 Úvod'!$G$19+'0 Úvod'!$J$19-1),'4 Tržby'!X44,0)</f>
        <v>0</v>
      </c>
      <c r="Y16" s="561">
        <f>IF(Y14&lt;=('0 Úvod'!$G$19+'0 Úvod'!$J$19-1),'4 Tržby'!Y44,0)</f>
        <v>0</v>
      </c>
      <c r="Z16" s="561">
        <f>IF(Z14&lt;=('0 Úvod'!$G$19+'0 Úvod'!$J$19-1),'4 Tržby'!Z44,0)</f>
        <v>0</v>
      </c>
      <c r="AA16" s="561">
        <f>IF(AA14&lt;=('0 Úvod'!$G$19+'0 Úvod'!$J$19-1),'4 Tržby'!AA44,0)</f>
        <v>0</v>
      </c>
      <c r="AB16" s="561">
        <f>IF(AB14&lt;=('0 Úvod'!$G$19+'0 Úvod'!$J$19-1),'4 Tržby'!AB44,0)</f>
        <v>0</v>
      </c>
      <c r="AC16" s="562">
        <f>IF(AC14&lt;=('0 Úvod'!$G$19+'0 Úvod'!$J$19-1),'4 Tržby'!AC44,0)</f>
        <v>0</v>
      </c>
    </row>
    <row r="17" spans="2:29" ht="12.75" thickBot="1">
      <c r="B17" s="563"/>
      <c r="C17" s="590" t="str">
        <f t="shared" si="14"/>
        <v>Celkové výnosy</v>
      </c>
      <c r="D17" s="591"/>
      <c r="E17" s="566">
        <f>SUM(E16)</f>
        <v>0</v>
      </c>
      <c r="F17" s="566">
        <f aca="true" t="shared" si="15" ref="F17:S17">SUM(F16)</f>
        <v>0</v>
      </c>
      <c r="G17" s="566">
        <f t="shared" si="15"/>
        <v>0</v>
      </c>
      <c r="H17" s="566">
        <f t="shared" si="15"/>
        <v>0</v>
      </c>
      <c r="I17" s="566">
        <f t="shared" si="15"/>
        <v>0</v>
      </c>
      <c r="J17" s="566">
        <f t="shared" si="15"/>
        <v>0</v>
      </c>
      <c r="K17" s="566">
        <f t="shared" si="15"/>
        <v>0</v>
      </c>
      <c r="L17" s="566">
        <f t="shared" si="15"/>
        <v>0</v>
      </c>
      <c r="M17" s="566">
        <f t="shared" si="15"/>
        <v>0</v>
      </c>
      <c r="N17" s="566">
        <f t="shared" si="15"/>
        <v>0</v>
      </c>
      <c r="O17" s="566">
        <f t="shared" si="15"/>
        <v>0</v>
      </c>
      <c r="P17" s="566">
        <f t="shared" si="15"/>
        <v>0</v>
      </c>
      <c r="Q17" s="566">
        <f t="shared" si="15"/>
        <v>0</v>
      </c>
      <c r="R17" s="566">
        <f t="shared" si="15"/>
        <v>0</v>
      </c>
      <c r="S17" s="566">
        <f t="shared" si="15"/>
        <v>0</v>
      </c>
      <c r="T17" s="566">
        <f aca="true" t="shared" si="16" ref="T17:AC17">SUM(T16)</f>
        <v>0</v>
      </c>
      <c r="U17" s="566">
        <f t="shared" si="16"/>
        <v>0</v>
      </c>
      <c r="V17" s="566">
        <f t="shared" si="16"/>
        <v>0</v>
      </c>
      <c r="W17" s="566">
        <f t="shared" si="16"/>
        <v>0</v>
      </c>
      <c r="X17" s="566">
        <f t="shared" si="16"/>
        <v>0</v>
      </c>
      <c r="Y17" s="566">
        <f t="shared" si="16"/>
        <v>0</v>
      </c>
      <c r="Z17" s="566">
        <f t="shared" si="16"/>
        <v>0</v>
      </c>
      <c r="AA17" s="566">
        <f t="shared" si="16"/>
        <v>0</v>
      </c>
      <c r="AB17" s="566">
        <f t="shared" si="16"/>
        <v>0</v>
      </c>
      <c r="AC17" s="567">
        <f t="shared" si="16"/>
        <v>0</v>
      </c>
    </row>
    <row r="18" spans="2:29" ht="12">
      <c r="B18" s="559"/>
      <c r="C18" s="588" t="str">
        <f t="shared" si="14"/>
        <v>Celkové přírůstkové provozní náklady</v>
      </c>
      <c r="D18" s="589"/>
      <c r="E18" s="592">
        <f>IF(E14&lt;=('0 Úvod'!$G$19+'0 Úvod'!$J$19-1),'3 Provozní náklady'!E44,0)</f>
        <v>0</v>
      </c>
      <c r="F18" s="561">
        <f>IF(F14&lt;=('0 Úvod'!$G$19+'0 Úvod'!$J$19-1),'3 Provozní náklady'!F44,0)</f>
        <v>0</v>
      </c>
      <c r="G18" s="561">
        <f>IF(G14&lt;=('0 Úvod'!$G$19+'0 Úvod'!$J$19-1),'3 Provozní náklady'!G44,0)</f>
        <v>0</v>
      </c>
      <c r="H18" s="561">
        <f>IF(H14&lt;=('0 Úvod'!$G$19+'0 Úvod'!$J$19-1),'3 Provozní náklady'!H44,0)</f>
        <v>0</v>
      </c>
      <c r="I18" s="561">
        <f>IF(I14&lt;=('0 Úvod'!$G$19+'0 Úvod'!$J$19-1),'3 Provozní náklady'!I44,0)</f>
        <v>0</v>
      </c>
      <c r="J18" s="561">
        <f>IF(J14&lt;=('0 Úvod'!$G$19+'0 Úvod'!$J$19-1),'3 Provozní náklady'!J44,0)</f>
        <v>0</v>
      </c>
      <c r="K18" s="561">
        <f>IF(K14&lt;=('0 Úvod'!$G$19+'0 Úvod'!$J$19-1),'3 Provozní náklady'!K44,0)</f>
        <v>0</v>
      </c>
      <c r="L18" s="561">
        <f>IF(L14&lt;=('0 Úvod'!$G$19+'0 Úvod'!$J$19-1),'3 Provozní náklady'!L44,0)</f>
        <v>0</v>
      </c>
      <c r="M18" s="561">
        <f>IF(M14&lt;=('0 Úvod'!$G$19+'0 Úvod'!$J$19-1),'3 Provozní náklady'!M44,0)</f>
        <v>0</v>
      </c>
      <c r="N18" s="561">
        <f>IF(N14&lt;=('0 Úvod'!$G$19+'0 Úvod'!$J$19-1),'3 Provozní náklady'!N44,0)</f>
        <v>0</v>
      </c>
      <c r="O18" s="561">
        <f>IF(O14&lt;=('0 Úvod'!$G$19+'0 Úvod'!$J$19-1),'3 Provozní náklady'!O44,0)</f>
        <v>0</v>
      </c>
      <c r="P18" s="561">
        <f>IF(P14&lt;=('0 Úvod'!$G$19+'0 Úvod'!$J$19-1),'3 Provozní náklady'!P44,0)</f>
        <v>0</v>
      </c>
      <c r="Q18" s="561">
        <f>IF(Q14&lt;=('0 Úvod'!$G$19+'0 Úvod'!$J$19-1),'3 Provozní náklady'!Q44,0)</f>
        <v>0</v>
      </c>
      <c r="R18" s="561">
        <f>IF(R14&lt;=('0 Úvod'!$G$19+'0 Úvod'!$J$19-1),'3 Provozní náklady'!R44,0)</f>
        <v>0</v>
      </c>
      <c r="S18" s="561">
        <f>IF(S14&lt;=('0 Úvod'!$G$19+'0 Úvod'!$J$19-1),'3 Provozní náklady'!S44,0)</f>
        <v>0</v>
      </c>
      <c r="T18" s="561">
        <f>IF(T14&lt;=('0 Úvod'!$G$19+'0 Úvod'!$J$19-1),'3 Provozní náklady'!T44,0)</f>
        <v>0</v>
      </c>
      <c r="U18" s="561">
        <f>IF(U14&lt;=('0 Úvod'!$G$19+'0 Úvod'!$J$19-1),'3 Provozní náklady'!U44,0)</f>
        <v>0</v>
      </c>
      <c r="V18" s="561">
        <f>IF(V14&lt;=('0 Úvod'!$G$19+'0 Úvod'!$J$19-1),'3 Provozní náklady'!V44,0)</f>
        <v>0</v>
      </c>
      <c r="W18" s="561">
        <f>IF(W14&lt;=('0 Úvod'!$G$19+'0 Úvod'!$J$19-1),'3 Provozní náklady'!W44,0)</f>
        <v>0</v>
      </c>
      <c r="X18" s="561">
        <f>IF(X14&lt;=('0 Úvod'!$G$19+'0 Úvod'!$J$19-1),'3 Provozní náklady'!X44,0)</f>
        <v>0</v>
      </c>
      <c r="Y18" s="561">
        <f>IF(Y14&lt;=('0 Úvod'!$G$19+'0 Úvod'!$J$19-1),'3 Provozní náklady'!Y44,0)</f>
        <v>0</v>
      </c>
      <c r="Z18" s="561">
        <f>IF(Z14&lt;=('0 Úvod'!$G$19+'0 Úvod'!$J$19-1),'3 Provozní náklady'!Z44,0)</f>
        <v>0</v>
      </c>
      <c r="AA18" s="561">
        <f>IF(AA14&lt;=('0 Úvod'!$G$19+'0 Úvod'!$J$19-1),'3 Provozní náklady'!AA44,0)</f>
        <v>0</v>
      </c>
      <c r="AB18" s="561">
        <f>IF(AB14&lt;=('0 Úvod'!$G$19+'0 Úvod'!$J$19-1),'3 Provozní náklady'!AB44,0)</f>
        <v>0</v>
      </c>
      <c r="AC18" s="562">
        <f>IF(AC14&lt;=('0 Úvod'!$G$19+'0 Úvod'!$J$19-1),'3 Provozní náklady'!AC44,0)</f>
        <v>0</v>
      </c>
    </row>
    <row r="19" spans="2:29" ht="12">
      <c r="B19" s="569"/>
      <c r="C19" s="593" t="str">
        <f t="shared" si="14"/>
        <v>Celkové invest. náklady bez rezervy</v>
      </c>
      <c r="D19" s="594"/>
      <c r="E19" s="571">
        <f>'1 Celkové investiční náklady'!G26</f>
        <v>0</v>
      </c>
      <c r="F19" s="571">
        <f>'1 Celkové investiční náklady'!H26</f>
        <v>0</v>
      </c>
      <c r="G19" s="571">
        <f>'1 Celkové investiční náklady'!I26</f>
        <v>0</v>
      </c>
      <c r="H19" s="571">
        <f>'1 Celkové investiční náklady'!J26</f>
        <v>0</v>
      </c>
      <c r="I19" s="571">
        <f>'1 Celkové investiční náklady'!K26</f>
        <v>0</v>
      </c>
      <c r="J19" s="571">
        <f>'1 Celkové investiční náklady'!L26</f>
        <v>0</v>
      </c>
      <c r="K19" s="571">
        <f>'1 Celkové investiční náklady'!M26</f>
        <v>0</v>
      </c>
      <c r="L19" s="571">
        <f>'1 Celkové investiční náklady'!N26</f>
        <v>0</v>
      </c>
      <c r="M19" s="571">
        <f>'1 Celkové investiční náklady'!O26</f>
        <v>0</v>
      </c>
      <c r="N19" s="571">
        <f>'1 Celkové investiční náklady'!P26</f>
        <v>0</v>
      </c>
      <c r="O19" s="571">
        <f>'1 Celkové investiční náklady'!Q26</f>
        <v>0</v>
      </c>
      <c r="P19" s="571">
        <f>'1 Celkové investiční náklady'!R26</f>
        <v>0</v>
      </c>
      <c r="Q19" s="571">
        <f>'1 Celkové investiční náklady'!S26</f>
        <v>0</v>
      </c>
      <c r="R19" s="571">
        <f>'1 Celkové investiční náklady'!T26</f>
        <v>0</v>
      </c>
      <c r="S19" s="571">
        <f>'1 Celkové investiční náklady'!U26</f>
        <v>0</v>
      </c>
      <c r="T19" s="571">
        <f>'1 Celkové investiční náklady'!V26</f>
        <v>0</v>
      </c>
      <c r="U19" s="571">
        <f>'1 Celkové investiční náklady'!W26</f>
        <v>0</v>
      </c>
      <c r="V19" s="571">
        <f>'1 Celkové investiční náklady'!X26</f>
        <v>0</v>
      </c>
      <c r="W19" s="571">
        <f>'1 Celkové investiční náklady'!Y26</f>
        <v>0</v>
      </c>
      <c r="X19" s="571">
        <f>'1 Celkové investiční náklady'!Z26</f>
        <v>0</v>
      </c>
      <c r="Y19" s="571">
        <f>'1 Celkové investiční náklady'!AA26</f>
        <v>0</v>
      </c>
      <c r="Z19" s="571">
        <f>'1 Celkové investiční náklady'!AB26</f>
        <v>0</v>
      </c>
      <c r="AA19" s="571">
        <f>'1 Celkové investiční náklady'!AC26</f>
        <v>0</v>
      </c>
      <c r="AB19" s="571">
        <f>'1 Celkové investiční náklady'!AD26</f>
        <v>0</v>
      </c>
      <c r="AC19" s="572">
        <f>'1 Celkové investiční náklady'!AE26</f>
        <v>0</v>
      </c>
    </row>
    <row r="20" spans="2:29" ht="12">
      <c r="B20" s="569"/>
      <c r="C20" s="593" t="str">
        <f t="shared" si="14"/>
        <v>Zůstatková hodnota (záporná)</v>
      </c>
      <c r="D20" s="594"/>
      <c r="E20" s="571">
        <f>-1*'2 Zůstatková hodnota'!E32</f>
        <v>0</v>
      </c>
      <c r="F20" s="571">
        <f>-1*'2 Zůstatková hodnota'!F32</f>
        <v>0</v>
      </c>
      <c r="G20" s="571">
        <f>-1*'2 Zůstatková hodnota'!G32</f>
        <v>0</v>
      </c>
      <c r="H20" s="571">
        <f>-1*'2 Zůstatková hodnota'!H32</f>
        <v>0</v>
      </c>
      <c r="I20" s="571" t="e">
        <f>-1*'2 Zůstatková hodnota'!I32</f>
        <v>#DIV/0!</v>
      </c>
      <c r="J20" s="571">
        <f>-1*'2 Zůstatková hodnota'!J32</f>
        <v>0</v>
      </c>
      <c r="K20" s="571">
        <f>-1*'2 Zůstatková hodnota'!K32</f>
        <v>0</v>
      </c>
      <c r="L20" s="571">
        <f>-1*'2 Zůstatková hodnota'!L32</f>
        <v>0</v>
      </c>
      <c r="M20" s="571">
        <f>-1*'2 Zůstatková hodnota'!M32</f>
        <v>0</v>
      </c>
      <c r="N20" s="571">
        <f>-1*'2 Zůstatková hodnota'!N32</f>
        <v>0</v>
      </c>
      <c r="O20" s="571">
        <f>-1*'2 Zůstatková hodnota'!O32</f>
        <v>0</v>
      </c>
      <c r="P20" s="571">
        <f>-1*'2 Zůstatková hodnota'!P32</f>
        <v>0</v>
      </c>
      <c r="Q20" s="571">
        <f>-1*'2 Zůstatková hodnota'!Q32</f>
        <v>0</v>
      </c>
      <c r="R20" s="571">
        <f>-1*'2 Zůstatková hodnota'!R32</f>
        <v>0</v>
      </c>
      <c r="S20" s="571">
        <f>-1*'2 Zůstatková hodnota'!S32</f>
        <v>0</v>
      </c>
      <c r="T20" s="571">
        <f>-1*'2 Zůstatková hodnota'!T32</f>
        <v>0</v>
      </c>
      <c r="U20" s="571">
        <f>-1*'2 Zůstatková hodnota'!U32</f>
        <v>0</v>
      </c>
      <c r="V20" s="571">
        <f>-1*'2 Zůstatková hodnota'!V32</f>
        <v>0</v>
      </c>
      <c r="W20" s="571">
        <f>-1*'2 Zůstatková hodnota'!W32</f>
        <v>0</v>
      </c>
      <c r="X20" s="571">
        <f>-1*'2 Zůstatková hodnota'!X32</f>
        <v>0</v>
      </c>
      <c r="Y20" s="571">
        <f>-1*'2 Zůstatková hodnota'!Y32</f>
        <v>0</v>
      </c>
      <c r="Z20" s="571">
        <f>-1*'2 Zůstatková hodnota'!Z32</f>
        <v>0</v>
      </c>
      <c r="AA20" s="571">
        <f>-1*'2 Zůstatková hodnota'!AA32</f>
        <v>0</v>
      </c>
      <c r="AB20" s="571">
        <f>-1*'2 Zůstatková hodnota'!AB32</f>
        <v>0</v>
      </c>
      <c r="AC20" s="572">
        <f>-1*'2 Zůstatková hodnota'!AC32</f>
        <v>0</v>
      </c>
    </row>
    <row r="21" spans="2:29" ht="12.75" thickBot="1">
      <c r="B21" s="573"/>
      <c r="C21" s="595" t="str">
        <f t="shared" si="14"/>
        <v>Celkové náklady</v>
      </c>
      <c r="D21" s="596"/>
      <c r="E21" s="576">
        <f>SUM(E18:E20)</f>
        <v>0</v>
      </c>
      <c r="F21" s="576">
        <f aca="true" t="shared" si="17" ref="F21:S21">SUM(F18:F20)</f>
        <v>0</v>
      </c>
      <c r="G21" s="576">
        <f t="shared" si="17"/>
        <v>0</v>
      </c>
      <c r="H21" s="576">
        <f t="shared" si="17"/>
        <v>0</v>
      </c>
      <c r="I21" s="576" t="e">
        <f t="shared" si="17"/>
        <v>#DIV/0!</v>
      </c>
      <c r="J21" s="576">
        <f t="shared" si="17"/>
        <v>0</v>
      </c>
      <c r="K21" s="576">
        <f t="shared" si="17"/>
        <v>0</v>
      </c>
      <c r="L21" s="576">
        <f t="shared" si="17"/>
        <v>0</v>
      </c>
      <c r="M21" s="576">
        <f t="shared" si="17"/>
        <v>0</v>
      </c>
      <c r="N21" s="576">
        <f t="shared" si="17"/>
        <v>0</v>
      </c>
      <c r="O21" s="576">
        <f t="shared" si="17"/>
        <v>0</v>
      </c>
      <c r="P21" s="576">
        <f t="shared" si="17"/>
        <v>0</v>
      </c>
      <c r="Q21" s="576">
        <f t="shared" si="17"/>
        <v>0</v>
      </c>
      <c r="R21" s="576">
        <f t="shared" si="17"/>
        <v>0</v>
      </c>
      <c r="S21" s="576">
        <f t="shared" si="17"/>
        <v>0</v>
      </c>
      <c r="T21" s="576">
        <f aca="true" t="shared" si="18" ref="T21:AC21">SUM(T18:T20)</f>
        <v>0</v>
      </c>
      <c r="U21" s="576">
        <f t="shared" si="18"/>
        <v>0</v>
      </c>
      <c r="V21" s="576">
        <f t="shared" si="18"/>
        <v>0</v>
      </c>
      <c r="W21" s="576">
        <f t="shared" si="18"/>
        <v>0</v>
      </c>
      <c r="X21" s="576">
        <f t="shared" si="18"/>
        <v>0</v>
      </c>
      <c r="Y21" s="576">
        <f t="shared" si="18"/>
        <v>0</v>
      </c>
      <c r="Z21" s="576">
        <f t="shared" si="18"/>
        <v>0</v>
      </c>
      <c r="AA21" s="576">
        <f t="shared" si="18"/>
        <v>0</v>
      </c>
      <c r="AB21" s="576">
        <f t="shared" si="18"/>
        <v>0</v>
      </c>
      <c r="AC21" s="577">
        <f t="shared" si="18"/>
        <v>0</v>
      </c>
    </row>
    <row r="22" spans="2:29" ht="12">
      <c r="B22" s="563"/>
      <c r="C22" s="590" t="str">
        <f t="shared" si="14"/>
        <v>Cash Flow </v>
      </c>
      <c r="D22" s="597"/>
      <c r="E22" s="598">
        <f aca="true" t="shared" si="19" ref="E22:S22">E17-E21</f>
        <v>0</v>
      </c>
      <c r="F22" s="598">
        <f t="shared" si="19"/>
        <v>0</v>
      </c>
      <c r="G22" s="598">
        <f t="shared" si="19"/>
        <v>0</v>
      </c>
      <c r="H22" s="598">
        <f t="shared" si="19"/>
        <v>0</v>
      </c>
      <c r="I22" s="598" t="e">
        <f t="shared" si="19"/>
        <v>#DIV/0!</v>
      </c>
      <c r="J22" s="598">
        <f t="shared" si="19"/>
        <v>0</v>
      </c>
      <c r="K22" s="598">
        <f t="shared" si="19"/>
        <v>0</v>
      </c>
      <c r="L22" s="598">
        <f t="shared" si="19"/>
        <v>0</v>
      </c>
      <c r="M22" s="598">
        <f t="shared" si="19"/>
        <v>0</v>
      </c>
      <c r="N22" s="598">
        <f t="shared" si="19"/>
        <v>0</v>
      </c>
      <c r="O22" s="598">
        <f t="shared" si="19"/>
        <v>0</v>
      </c>
      <c r="P22" s="598">
        <f t="shared" si="19"/>
        <v>0</v>
      </c>
      <c r="Q22" s="598">
        <f t="shared" si="19"/>
        <v>0</v>
      </c>
      <c r="R22" s="598">
        <f t="shared" si="19"/>
        <v>0</v>
      </c>
      <c r="S22" s="598">
        <f t="shared" si="19"/>
        <v>0</v>
      </c>
      <c r="T22" s="598">
        <f aca="true" t="shared" si="20" ref="T22:AC22">T17-T21</f>
        <v>0</v>
      </c>
      <c r="U22" s="598">
        <f t="shared" si="20"/>
        <v>0</v>
      </c>
      <c r="V22" s="598">
        <f t="shared" si="20"/>
        <v>0</v>
      </c>
      <c r="W22" s="598">
        <f t="shared" si="20"/>
        <v>0</v>
      </c>
      <c r="X22" s="598">
        <f t="shared" si="20"/>
        <v>0</v>
      </c>
      <c r="Y22" s="598">
        <f t="shared" si="20"/>
        <v>0</v>
      </c>
      <c r="Z22" s="598">
        <f t="shared" si="20"/>
        <v>0</v>
      </c>
      <c r="AA22" s="598">
        <f t="shared" si="20"/>
        <v>0</v>
      </c>
      <c r="AB22" s="598">
        <f t="shared" si="20"/>
        <v>0</v>
      </c>
      <c r="AC22" s="567">
        <f t="shared" si="20"/>
        <v>0</v>
      </c>
    </row>
    <row r="23" spans="2:29" ht="12">
      <c r="B23" s="569"/>
      <c r="C23" s="599" t="str">
        <f t="shared" si="14"/>
        <v>Diskontní sazba</v>
      </c>
      <c r="D23" s="600">
        <f>D11</f>
        <v>0.05</v>
      </c>
      <c r="E23" s="601">
        <f>AC11*1/(1+$D$11)</f>
        <v>0.2953027716977619</v>
      </c>
      <c r="F23" s="601">
        <f>E23*1/(1+$D$11)</f>
        <v>0.2812407349502494</v>
      </c>
      <c r="G23" s="601">
        <f aca="true" t="shared" si="21" ref="G23:S23">F23*1/(1+$D$11)</f>
        <v>0.26784831900023753</v>
      </c>
      <c r="H23" s="601">
        <f t="shared" si="21"/>
        <v>0.25509363714308336</v>
      </c>
      <c r="I23" s="601">
        <f t="shared" si="21"/>
        <v>0.2429463210886508</v>
      </c>
      <c r="J23" s="601">
        <f t="shared" si="21"/>
        <v>0.2313774486558579</v>
      </c>
      <c r="K23" s="601">
        <f t="shared" si="21"/>
        <v>0.22035947491034086</v>
      </c>
      <c r="L23" s="601">
        <f t="shared" si="21"/>
        <v>0.209866166581277</v>
      </c>
      <c r="M23" s="601">
        <f t="shared" si="21"/>
        <v>0.19987253960121618</v>
      </c>
      <c r="N23" s="601">
        <f t="shared" si="21"/>
        <v>0.19035479962020588</v>
      </c>
      <c r="O23" s="601">
        <f t="shared" si="21"/>
        <v>0.18129028535257702</v>
      </c>
      <c r="P23" s="601">
        <f t="shared" si="21"/>
        <v>0.17265741462150191</v>
      </c>
      <c r="Q23" s="601">
        <f t="shared" si="21"/>
        <v>0.16443563297285896</v>
      </c>
      <c r="R23" s="601">
        <f t="shared" si="21"/>
        <v>0.15660536473605616</v>
      </c>
      <c r="S23" s="601">
        <f t="shared" si="21"/>
        <v>0.14914796641529157</v>
      </c>
      <c r="T23" s="601">
        <f aca="true" t="shared" si="22" ref="T23:AC23">S23*1/(1+$D$11)</f>
        <v>0.14204568230027767</v>
      </c>
      <c r="U23" s="601">
        <f t="shared" si="22"/>
        <v>0.13528160219074065</v>
      </c>
      <c r="V23" s="601">
        <f t="shared" si="22"/>
        <v>0.1288396211340387</v>
      </c>
      <c r="W23" s="601">
        <f t="shared" si="22"/>
        <v>0.12270440108003686</v>
      </c>
      <c r="X23" s="601">
        <f t="shared" si="22"/>
        <v>0.11686133436193986</v>
      </c>
      <c r="Y23" s="601">
        <f t="shared" si="22"/>
        <v>0.1112965089161332</v>
      </c>
      <c r="Z23" s="601">
        <f t="shared" si="22"/>
        <v>0.10599667515822209</v>
      </c>
      <c r="AA23" s="601">
        <f t="shared" si="22"/>
        <v>0.10094921443640198</v>
      </c>
      <c r="AB23" s="601">
        <f t="shared" si="22"/>
        <v>0.0961421089870495</v>
      </c>
      <c r="AC23" s="581">
        <f t="shared" si="22"/>
        <v>0.09156391332099952</v>
      </c>
    </row>
    <row r="24" spans="2:29" ht="12.75" thickBot="1">
      <c r="B24" s="583"/>
      <c r="C24" s="602" t="str">
        <f t="shared" si="14"/>
        <v>Diskontované cash flow</v>
      </c>
      <c r="D24" s="603"/>
      <c r="E24" s="604">
        <f aca="true" t="shared" si="23" ref="E24:S24">E22*E23</f>
        <v>0</v>
      </c>
      <c r="F24" s="604">
        <f t="shared" si="23"/>
        <v>0</v>
      </c>
      <c r="G24" s="604">
        <f t="shared" si="23"/>
        <v>0</v>
      </c>
      <c r="H24" s="604">
        <f t="shared" si="23"/>
        <v>0</v>
      </c>
      <c r="I24" s="604" t="e">
        <f t="shared" si="23"/>
        <v>#DIV/0!</v>
      </c>
      <c r="J24" s="604">
        <f t="shared" si="23"/>
        <v>0</v>
      </c>
      <c r="K24" s="604">
        <f t="shared" si="23"/>
        <v>0</v>
      </c>
      <c r="L24" s="604">
        <f t="shared" si="23"/>
        <v>0</v>
      </c>
      <c r="M24" s="604">
        <f t="shared" si="23"/>
        <v>0</v>
      </c>
      <c r="N24" s="604">
        <f t="shared" si="23"/>
        <v>0</v>
      </c>
      <c r="O24" s="604">
        <f t="shared" si="23"/>
        <v>0</v>
      </c>
      <c r="P24" s="604">
        <f t="shared" si="23"/>
        <v>0</v>
      </c>
      <c r="Q24" s="604">
        <f t="shared" si="23"/>
        <v>0</v>
      </c>
      <c r="R24" s="604">
        <f t="shared" si="23"/>
        <v>0</v>
      </c>
      <c r="S24" s="604">
        <f t="shared" si="23"/>
        <v>0</v>
      </c>
      <c r="T24" s="604">
        <f aca="true" t="shared" si="24" ref="T24:AC24">T22*T23</f>
        <v>0</v>
      </c>
      <c r="U24" s="604">
        <f t="shared" si="24"/>
        <v>0</v>
      </c>
      <c r="V24" s="604">
        <f t="shared" si="24"/>
        <v>0</v>
      </c>
      <c r="W24" s="604">
        <f t="shared" si="24"/>
        <v>0</v>
      </c>
      <c r="X24" s="604">
        <f t="shared" si="24"/>
        <v>0</v>
      </c>
      <c r="Y24" s="604">
        <f t="shared" si="24"/>
        <v>0</v>
      </c>
      <c r="Z24" s="604">
        <f t="shared" si="24"/>
        <v>0</v>
      </c>
      <c r="AA24" s="604">
        <f t="shared" si="24"/>
        <v>0</v>
      </c>
      <c r="AB24" s="604">
        <f t="shared" si="24"/>
        <v>0</v>
      </c>
      <c r="AC24" s="586">
        <f t="shared" si="24"/>
        <v>0</v>
      </c>
    </row>
    <row r="25" spans="2:19" ht="12" thickBot="1"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</row>
    <row r="26" spans="2:18" s="541" customFormat="1" ht="12">
      <c r="B26" s="1019" t="s">
        <v>120</v>
      </c>
      <c r="C26" s="1020"/>
      <c r="D26" s="1020"/>
      <c r="E26" s="919" t="e">
        <f>ROUND(IRR((E10:AC10,E22:AC22),0.05),4)</f>
        <v>#VALUE!</v>
      </c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8"/>
      <c r="R26" s="548"/>
    </row>
    <row r="27" spans="2:18" s="541" customFormat="1" ht="12.75" thickBot="1">
      <c r="B27" s="1017" t="s">
        <v>121</v>
      </c>
      <c r="C27" s="1018"/>
      <c r="D27" s="1018"/>
      <c r="E27" s="605" t="e">
        <f>E10+NPV('0 Úvod'!D21,(F10:AC10,E22:AC22))</f>
        <v>#DIV/0!</v>
      </c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50"/>
      <c r="R27" s="550"/>
    </row>
    <row r="28" spans="2:10" ht="12.75" thickBot="1">
      <c r="B28" s="1017" t="s">
        <v>122</v>
      </c>
      <c r="C28" s="1018"/>
      <c r="D28" s="1018"/>
      <c r="E28" s="605" t="e">
        <f>E27/'0 Úvod'!N19</f>
        <v>#DIV/0!</v>
      </c>
      <c r="J28" s="551"/>
    </row>
    <row r="29" ht="11.25">
      <c r="D29" s="552"/>
    </row>
    <row r="30" ht="11.25">
      <c r="D30" s="553"/>
    </row>
    <row r="31" spans="5:7" ht="11.25">
      <c r="E31" s="540"/>
      <c r="G31" s="540"/>
    </row>
    <row r="32" ht="11.25">
      <c r="E32" s="540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H14:H15"/>
    <mergeCell ref="E2:E3"/>
    <mergeCell ref="F2:F3"/>
    <mergeCell ref="G2:G3"/>
    <mergeCell ref="H2:H3"/>
    <mergeCell ref="N14:N15"/>
    <mergeCell ref="O14:O15"/>
    <mergeCell ref="P14:P15"/>
    <mergeCell ref="L14:L15"/>
    <mergeCell ref="M14:M15"/>
    <mergeCell ref="N2:N3"/>
    <mergeCell ref="I14:I15"/>
    <mergeCell ref="B28:D28"/>
    <mergeCell ref="B26:D26"/>
    <mergeCell ref="B27:D27"/>
    <mergeCell ref="E14:E15"/>
    <mergeCell ref="F14:F15"/>
    <mergeCell ref="G14:G15"/>
    <mergeCell ref="J14:J15"/>
    <mergeCell ref="K14:K15"/>
    <mergeCell ref="I2:I3"/>
    <mergeCell ref="J2:J3"/>
    <mergeCell ref="K2:K3"/>
    <mergeCell ref="L2:L3"/>
    <mergeCell ref="O2:O3"/>
    <mergeCell ref="P2:P3"/>
    <mergeCell ref="T14:T15"/>
    <mergeCell ref="U14:U15"/>
    <mergeCell ref="S14:S15"/>
    <mergeCell ref="Q14:Q15"/>
    <mergeCell ref="R14:R15"/>
    <mergeCell ref="V14:V15"/>
    <mergeCell ref="W14:W15"/>
    <mergeCell ref="X14:X15"/>
    <mergeCell ref="Y14:Y15"/>
    <mergeCell ref="M2:M3"/>
    <mergeCell ref="X2:X3"/>
    <mergeCell ref="Y2:Y3"/>
    <mergeCell ref="T2:T3"/>
    <mergeCell ref="S2:S3"/>
    <mergeCell ref="R2:R3"/>
    <mergeCell ref="U2:U3"/>
    <mergeCell ref="V2:V3"/>
    <mergeCell ref="W2:W3"/>
    <mergeCell ref="Q2:Q3"/>
    <mergeCell ref="AA2:AA3"/>
    <mergeCell ref="AB2:AB3"/>
    <mergeCell ref="AC2:AC3"/>
    <mergeCell ref="Z14:Z15"/>
    <mergeCell ref="AA14:AA15"/>
    <mergeCell ref="AB14:AB15"/>
    <mergeCell ref="AC14:AC15"/>
    <mergeCell ref="Z2:Z3"/>
  </mergeCells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2"/>
  <headerFooter alignWithMargins="0">
    <oddFooter>&amp;L&amp;A&amp;C15.9.2010</oddFooter>
  </headerFooter>
  <ignoredErrors>
    <ignoredError sqref="D5" 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B1:AQ5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283" customWidth="1"/>
    <col min="2" max="2" width="5.7109375" style="283" customWidth="1"/>
    <col min="3" max="3" width="56.140625" style="283" customWidth="1"/>
    <col min="4" max="4" width="13.00390625" style="283" bestFit="1" customWidth="1"/>
    <col min="5" max="5" width="12.140625" style="283" customWidth="1"/>
    <col min="6" max="19" width="12.28125" style="283" bestFit="1" customWidth="1"/>
    <col min="20" max="29" width="12.28125" style="283" customWidth="1"/>
    <col min="30" max="44" width="7.140625" style="283" customWidth="1"/>
    <col min="45" max="16384" width="9.140625" style="283" customWidth="1"/>
  </cols>
  <sheetData>
    <row r="1" ht="12" thickBot="1">
      <c r="E1" s="284"/>
    </row>
    <row r="2" spans="2:29" ht="12.75">
      <c r="B2" s="614" t="s">
        <v>19</v>
      </c>
      <c r="C2" s="109" t="s">
        <v>106</v>
      </c>
      <c r="D2" s="110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>O2+1</f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2:29" ht="13.5" thickBot="1">
      <c r="B3" s="333" t="s">
        <v>25</v>
      </c>
      <c r="C3" s="334"/>
      <c r="D3" s="335" t="s">
        <v>83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93"/>
    </row>
    <row r="4" spans="2:29" ht="12">
      <c r="B4" s="615" t="s">
        <v>6</v>
      </c>
      <c r="C4" s="616" t="s">
        <v>108</v>
      </c>
      <c r="D4" s="338">
        <f>SUM(E4:AC4,E11:AC11)</f>
        <v>0</v>
      </c>
      <c r="E4" s="617">
        <f>'3 Provozní náklady'!E4+'3 Provozní náklady'!E5</f>
        <v>0</v>
      </c>
      <c r="F4" s="618">
        <f>'3 Provozní náklady'!F4+'3 Provozní náklady'!F5</f>
        <v>0</v>
      </c>
      <c r="G4" s="618">
        <f>'3 Provozní náklady'!G4+'3 Provozní náklady'!G5</f>
        <v>0</v>
      </c>
      <c r="H4" s="618">
        <f>'3 Provozní náklady'!H4+'3 Provozní náklady'!H5</f>
        <v>0</v>
      </c>
      <c r="I4" s="618">
        <f>'3 Provozní náklady'!I4+'3 Provozní náklady'!I5</f>
        <v>0</v>
      </c>
      <c r="J4" s="618">
        <f>'3 Provozní náklady'!J4+'3 Provozní náklady'!J5</f>
        <v>0</v>
      </c>
      <c r="K4" s="618">
        <f>'3 Provozní náklady'!K4+'3 Provozní náklady'!K5</f>
        <v>0</v>
      </c>
      <c r="L4" s="618">
        <f>'3 Provozní náklady'!L4+'3 Provozní náklady'!L5</f>
        <v>0</v>
      </c>
      <c r="M4" s="618">
        <f>'3 Provozní náklady'!M4+'3 Provozní náklady'!M5</f>
        <v>0</v>
      </c>
      <c r="N4" s="618">
        <f>'3 Provozní náklady'!N4+'3 Provozní náklady'!N5</f>
        <v>0</v>
      </c>
      <c r="O4" s="618">
        <f>'3 Provozní náklady'!O4+'3 Provozní náklady'!O5</f>
        <v>0</v>
      </c>
      <c r="P4" s="618">
        <f>'3 Provozní náklady'!P4+'3 Provozní náklady'!P5</f>
        <v>0</v>
      </c>
      <c r="Q4" s="618">
        <f>'3 Provozní náklady'!Q4+'3 Provozní náklady'!Q5</f>
        <v>0</v>
      </c>
      <c r="R4" s="618">
        <f>'3 Provozní náklady'!R4+'3 Provozní náklady'!R5</f>
        <v>0</v>
      </c>
      <c r="S4" s="618">
        <f>'3 Provozní náklady'!S4+'3 Provozní náklady'!S5</f>
        <v>0</v>
      </c>
      <c r="T4" s="618">
        <f>'3 Provozní náklady'!T4+'3 Provozní náklady'!T5</f>
        <v>0</v>
      </c>
      <c r="U4" s="618">
        <f>'3 Provozní náklady'!U4+'3 Provozní náklady'!U5</f>
        <v>0</v>
      </c>
      <c r="V4" s="618">
        <f>'3 Provozní náklady'!V4+'3 Provozní náklady'!V5</f>
        <v>0</v>
      </c>
      <c r="W4" s="618">
        <f>'3 Provozní náklady'!W4+'3 Provozní náklady'!W5</f>
        <v>0</v>
      </c>
      <c r="X4" s="618">
        <f>'3 Provozní náklady'!X4+'3 Provozní náklady'!X5</f>
        <v>0</v>
      </c>
      <c r="Y4" s="618">
        <f>'3 Provozní náklady'!Y4+'3 Provozní náklady'!Y5</f>
        <v>0</v>
      </c>
      <c r="Z4" s="618">
        <f>'3 Provozní náklady'!Z4+'3 Provozní náklady'!Z5</f>
        <v>0</v>
      </c>
      <c r="AA4" s="618">
        <f>'3 Provozní náklady'!AA4+'3 Provozní náklady'!AA5</f>
        <v>0</v>
      </c>
      <c r="AB4" s="618">
        <f>'3 Provozní náklady'!AB4+'3 Provozní náklady'!AB5</f>
        <v>0</v>
      </c>
      <c r="AC4" s="619">
        <f>'3 Provozní náklady'!AC4+'3 Provozní náklady'!AC5</f>
        <v>0</v>
      </c>
    </row>
    <row r="5" spans="2:29" ht="12">
      <c r="B5" s="620" t="s">
        <v>7</v>
      </c>
      <c r="C5" s="342" t="s">
        <v>98</v>
      </c>
      <c r="D5" s="341">
        <f>SUM(E5:AC5,E12:AC12)</f>
        <v>0</v>
      </c>
      <c r="E5" s="621">
        <f>'3 Provozní náklady'!E6</f>
        <v>0</v>
      </c>
      <c r="F5" s="622">
        <f>'3 Provozní náklady'!F6</f>
        <v>0</v>
      </c>
      <c r="G5" s="622">
        <f>'3 Provozní náklady'!G6</f>
        <v>0</v>
      </c>
      <c r="H5" s="622">
        <f>'3 Provozní náklady'!H6</f>
        <v>0</v>
      </c>
      <c r="I5" s="622">
        <f>'3 Provozní náklady'!I6</f>
        <v>0</v>
      </c>
      <c r="J5" s="622">
        <f>'3 Provozní náklady'!J6</f>
        <v>0</v>
      </c>
      <c r="K5" s="622">
        <f>'3 Provozní náklady'!K6</f>
        <v>0</v>
      </c>
      <c r="L5" s="622">
        <f>'3 Provozní náklady'!L6</f>
        <v>0</v>
      </c>
      <c r="M5" s="622">
        <f>'3 Provozní náklady'!M6</f>
        <v>0</v>
      </c>
      <c r="N5" s="622">
        <f>'3 Provozní náklady'!N6</f>
        <v>0</v>
      </c>
      <c r="O5" s="622">
        <f>'3 Provozní náklady'!O6</f>
        <v>0</v>
      </c>
      <c r="P5" s="622">
        <f>'3 Provozní náklady'!P6</f>
        <v>0</v>
      </c>
      <c r="Q5" s="622">
        <f>'3 Provozní náklady'!Q6</f>
        <v>0</v>
      </c>
      <c r="R5" s="622">
        <f>'3 Provozní náklady'!R6</f>
        <v>0</v>
      </c>
      <c r="S5" s="622">
        <f>'3 Provozní náklady'!S6</f>
        <v>0</v>
      </c>
      <c r="T5" s="622">
        <f>'3 Provozní náklady'!T6</f>
        <v>0</v>
      </c>
      <c r="U5" s="622">
        <f>'3 Provozní náklady'!U6</f>
        <v>0</v>
      </c>
      <c r="V5" s="622">
        <f>'3 Provozní náklady'!V6</f>
        <v>0</v>
      </c>
      <c r="W5" s="622">
        <f>'3 Provozní náklady'!W6</f>
        <v>0</v>
      </c>
      <c r="X5" s="622">
        <f>'3 Provozní náklady'!X6</f>
        <v>0</v>
      </c>
      <c r="Y5" s="622">
        <f>'3 Provozní náklady'!Y6</f>
        <v>0</v>
      </c>
      <c r="Z5" s="622">
        <f>'3 Provozní náklady'!Z6</f>
        <v>0</v>
      </c>
      <c r="AA5" s="622">
        <f>'3 Provozní náklady'!AA6</f>
        <v>0</v>
      </c>
      <c r="AB5" s="622">
        <f>'3 Provozní náklady'!AB6</f>
        <v>0</v>
      </c>
      <c r="AC5" s="623">
        <f>'3 Provozní náklady'!AC6</f>
        <v>0</v>
      </c>
    </row>
    <row r="6" spans="2:29" ht="12" customHeight="1">
      <c r="B6" s="620" t="s">
        <v>8</v>
      </c>
      <c r="C6" s="337" t="s">
        <v>182</v>
      </c>
      <c r="D6" s="341">
        <f>SUM(E6:AC6,E13:AC13)</f>
        <v>0</v>
      </c>
      <c r="E6" s="621">
        <f>'4 Tržby'!E4+'4 Tržby'!E5</f>
        <v>0</v>
      </c>
      <c r="F6" s="622">
        <f>'4 Tržby'!F4+'4 Tržby'!F5</f>
        <v>0</v>
      </c>
      <c r="G6" s="622">
        <f>'4 Tržby'!G4+'4 Tržby'!G5</f>
        <v>0</v>
      </c>
      <c r="H6" s="622">
        <f>'4 Tržby'!H4+'4 Tržby'!H5</f>
        <v>0</v>
      </c>
      <c r="I6" s="622">
        <f>'4 Tržby'!I4+'4 Tržby'!I5</f>
        <v>0</v>
      </c>
      <c r="J6" s="622">
        <f>'4 Tržby'!J4+'4 Tržby'!J5</f>
        <v>0</v>
      </c>
      <c r="K6" s="622">
        <f>'4 Tržby'!K4+'4 Tržby'!K5</f>
        <v>0</v>
      </c>
      <c r="L6" s="622">
        <f>'4 Tržby'!L4+'4 Tržby'!L5</f>
        <v>0</v>
      </c>
      <c r="M6" s="622">
        <f>'4 Tržby'!M4+'4 Tržby'!M5</f>
        <v>0</v>
      </c>
      <c r="N6" s="622">
        <f>'4 Tržby'!N4+'4 Tržby'!N5</f>
        <v>0</v>
      </c>
      <c r="O6" s="622">
        <f>'4 Tržby'!O4+'4 Tržby'!O5</f>
        <v>0</v>
      </c>
      <c r="P6" s="622">
        <f>'4 Tržby'!P4+'4 Tržby'!P5</f>
        <v>0</v>
      </c>
      <c r="Q6" s="622">
        <f>'4 Tržby'!Q4+'4 Tržby'!Q5</f>
        <v>0</v>
      </c>
      <c r="R6" s="622">
        <f>'4 Tržby'!R4+'4 Tržby'!R5</f>
        <v>0</v>
      </c>
      <c r="S6" s="622">
        <f>'4 Tržby'!S4+'4 Tržby'!S5</f>
        <v>0</v>
      </c>
      <c r="T6" s="622">
        <f>'4 Tržby'!T4+'4 Tržby'!T5</f>
        <v>0</v>
      </c>
      <c r="U6" s="622">
        <f>'4 Tržby'!U4+'4 Tržby'!U5</f>
        <v>0</v>
      </c>
      <c r="V6" s="622">
        <f>'4 Tržby'!V4+'4 Tržby'!V5</f>
        <v>0</v>
      </c>
      <c r="W6" s="622">
        <f>'4 Tržby'!W4+'4 Tržby'!W5</f>
        <v>0</v>
      </c>
      <c r="X6" s="622">
        <f>'4 Tržby'!X4+'4 Tržby'!X5</f>
        <v>0</v>
      </c>
      <c r="Y6" s="622">
        <f>'4 Tržby'!Y4+'4 Tržby'!Y5</f>
        <v>0</v>
      </c>
      <c r="Z6" s="622">
        <f>'4 Tržby'!Z4+'4 Tržby'!Z5</f>
        <v>0</v>
      </c>
      <c r="AA6" s="622">
        <f>'4 Tržby'!AA4+'4 Tržby'!AA5</f>
        <v>0</v>
      </c>
      <c r="AB6" s="622">
        <f>'4 Tržby'!AB4+'4 Tržby'!AB5</f>
        <v>0</v>
      </c>
      <c r="AC6" s="623">
        <f>'4 Tržby'!AC4+'4 Tržby'!AC5</f>
        <v>0</v>
      </c>
    </row>
    <row r="7" spans="2:29" s="606" customFormat="1" ht="12.75" thickBot="1">
      <c r="B7" s="624" t="s">
        <v>9</v>
      </c>
      <c r="C7" s="625" t="s">
        <v>296</v>
      </c>
      <c r="D7" s="626">
        <f>SUM(E7:AC7,E14:AC14)</f>
        <v>0</v>
      </c>
      <c r="E7" s="627">
        <f>IF((E4+E5-E6)&gt;0,E4+E5-E6,0)</f>
        <v>0</v>
      </c>
      <c r="F7" s="628">
        <f aca="true" t="shared" si="2" ref="F7:S7">IF((F4+F5-F6)&gt;0,F4+F5-F6,0)</f>
        <v>0</v>
      </c>
      <c r="G7" s="628">
        <f t="shared" si="2"/>
        <v>0</v>
      </c>
      <c r="H7" s="628">
        <f t="shared" si="2"/>
        <v>0</v>
      </c>
      <c r="I7" s="628">
        <f t="shared" si="2"/>
        <v>0</v>
      </c>
      <c r="J7" s="628">
        <f t="shared" si="2"/>
        <v>0</v>
      </c>
      <c r="K7" s="628">
        <f t="shared" si="2"/>
        <v>0</v>
      </c>
      <c r="L7" s="628">
        <f t="shared" si="2"/>
        <v>0</v>
      </c>
      <c r="M7" s="628">
        <f t="shared" si="2"/>
        <v>0</v>
      </c>
      <c r="N7" s="628">
        <f t="shared" si="2"/>
        <v>0</v>
      </c>
      <c r="O7" s="628">
        <f t="shared" si="2"/>
        <v>0</v>
      </c>
      <c r="P7" s="628">
        <f t="shared" si="2"/>
        <v>0</v>
      </c>
      <c r="Q7" s="628">
        <f t="shared" si="2"/>
        <v>0</v>
      </c>
      <c r="R7" s="628">
        <f t="shared" si="2"/>
        <v>0</v>
      </c>
      <c r="S7" s="628">
        <f t="shared" si="2"/>
        <v>0</v>
      </c>
      <c r="T7" s="628">
        <f aca="true" t="shared" si="3" ref="T7:AC7">IF((T4+T5-T6)&gt;0,T4+T5-T6,0)</f>
        <v>0</v>
      </c>
      <c r="U7" s="628">
        <f t="shared" si="3"/>
        <v>0</v>
      </c>
      <c r="V7" s="628">
        <f t="shared" si="3"/>
        <v>0</v>
      </c>
      <c r="W7" s="628">
        <f t="shared" si="3"/>
        <v>0</v>
      </c>
      <c r="X7" s="628">
        <f t="shared" si="3"/>
        <v>0</v>
      </c>
      <c r="Y7" s="628">
        <f t="shared" si="3"/>
        <v>0</v>
      </c>
      <c r="Z7" s="628">
        <f t="shared" si="3"/>
        <v>0</v>
      </c>
      <c r="AA7" s="628">
        <f t="shared" si="3"/>
        <v>0</v>
      </c>
      <c r="AB7" s="628">
        <f t="shared" si="3"/>
        <v>0</v>
      </c>
      <c r="AC7" s="629">
        <f t="shared" si="3"/>
        <v>0</v>
      </c>
    </row>
    <row r="8" spans="3:29" ht="12" thickBot="1">
      <c r="C8" s="285"/>
      <c r="D8" s="296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</row>
    <row r="9" spans="2:29" ht="12.75">
      <c r="B9" s="614" t="s">
        <v>19</v>
      </c>
      <c r="C9" s="109" t="s">
        <v>106</v>
      </c>
      <c r="D9" s="110"/>
      <c r="E9" s="988">
        <f>AC2+1</f>
        <v>2039</v>
      </c>
      <c r="F9" s="980">
        <f aca="true" t="shared" si="4" ref="F9:S9">E9+1</f>
        <v>2040</v>
      </c>
      <c r="G9" s="980">
        <f t="shared" si="4"/>
        <v>2041</v>
      </c>
      <c r="H9" s="980">
        <f t="shared" si="4"/>
        <v>2042</v>
      </c>
      <c r="I9" s="980">
        <f t="shared" si="4"/>
        <v>2043</v>
      </c>
      <c r="J9" s="980">
        <f t="shared" si="4"/>
        <v>2044</v>
      </c>
      <c r="K9" s="980">
        <f t="shared" si="4"/>
        <v>2045</v>
      </c>
      <c r="L9" s="980">
        <f t="shared" si="4"/>
        <v>2046</v>
      </c>
      <c r="M9" s="980">
        <f t="shared" si="4"/>
        <v>2047</v>
      </c>
      <c r="N9" s="980">
        <f t="shared" si="4"/>
        <v>2048</v>
      </c>
      <c r="O9" s="980">
        <f t="shared" si="4"/>
        <v>2049</v>
      </c>
      <c r="P9" s="980">
        <f>O9+1</f>
        <v>2050</v>
      </c>
      <c r="Q9" s="980">
        <f t="shared" si="4"/>
        <v>2051</v>
      </c>
      <c r="R9" s="980">
        <f t="shared" si="4"/>
        <v>2052</v>
      </c>
      <c r="S9" s="980">
        <f t="shared" si="4"/>
        <v>2053</v>
      </c>
      <c r="T9" s="980">
        <f aca="true" t="shared" si="5" ref="T9:AC9">S9+1</f>
        <v>2054</v>
      </c>
      <c r="U9" s="980">
        <f t="shared" si="5"/>
        <v>2055</v>
      </c>
      <c r="V9" s="980">
        <f t="shared" si="5"/>
        <v>2056</v>
      </c>
      <c r="W9" s="980">
        <f t="shared" si="5"/>
        <v>2057</v>
      </c>
      <c r="X9" s="980">
        <f t="shared" si="5"/>
        <v>2058</v>
      </c>
      <c r="Y9" s="980">
        <f t="shared" si="5"/>
        <v>2059</v>
      </c>
      <c r="Z9" s="980">
        <f t="shared" si="5"/>
        <v>2060</v>
      </c>
      <c r="AA9" s="980">
        <f t="shared" si="5"/>
        <v>2061</v>
      </c>
      <c r="AB9" s="980">
        <f t="shared" si="5"/>
        <v>2062</v>
      </c>
      <c r="AC9" s="992">
        <f t="shared" si="5"/>
        <v>2063</v>
      </c>
    </row>
    <row r="10" spans="2:29" s="285" customFormat="1" ht="13.5" thickBot="1">
      <c r="B10" s="333" t="s">
        <v>26</v>
      </c>
      <c r="C10" s="334"/>
      <c r="D10" s="352"/>
      <c r="E10" s="1011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993"/>
    </row>
    <row r="11" spans="2:29" s="285" customFormat="1" ht="12">
      <c r="B11" s="615" t="s">
        <v>6</v>
      </c>
      <c r="C11" s="616" t="s">
        <v>108</v>
      </c>
      <c r="D11" s="630"/>
      <c r="E11" s="617">
        <f>'3 Provozní náklady'!E11+'3 Provozní náklady'!E12</f>
        <v>0</v>
      </c>
      <c r="F11" s="618">
        <f>'3 Provozní náklady'!F11+'3 Provozní náklady'!F12</f>
        <v>0</v>
      </c>
      <c r="G11" s="618">
        <f>'3 Provozní náklady'!G11+'3 Provozní náklady'!G12</f>
        <v>0</v>
      </c>
      <c r="H11" s="618">
        <f>'3 Provozní náklady'!H11+'3 Provozní náklady'!H12</f>
        <v>0</v>
      </c>
      <c r="I11" s="618">
        <f>'3 Provozní náklady'!I11+'3 Provozní náklady'!I12</f>
        <v>0</v>
      </c>
      <c r="J11" s="618">
        <f>'3 Provozní náklady'!J11+'3 Provozní náklady'!J12</f>
        <v>0</v>
      </c>
      <c r="K11" s="618">
        <f>'3 Provozní náklady'!K11+'3 Provozní náklady'!K12</f>
        <v>0</v>
      </c>
      <c r="L11" s="618">
        <f>'3 Provozní náklady'!L11+'3 Provozní náklady'!L12</f>
        <v>0</v>
      </c>
      <c r="M11" s="618">
        <f>'3 Provozní náklady'!M11+'3 Provozní náklady'!M12</f>
        <v>0</v>
      </c>
      <c r="N11" s="618">
        <f>'3 Provozní náklady'!N11+'3 Provozní náklady'!N12</f>
        <v>0</v>
      </c>
      <c r="O11" s="618">
        <f>'3 Provozní náklady'!O11+'3 Provozní náklady'!O12</f>
        <v>0</v>
      </c>
      <c r="P11" s="618">
        <f>'3 Provozní náklady'!P11+'3 Provozní náklady'!P12</f>
        <v>0</v>
      </c>
      <c r="Q11" s="618">
        <f>'3 Provozní náklady'!Q11+'3 Provozní náklady'!Q12</f>
        <v>0</v>
      </c>
      <c r="R11" s="618">
        <f>'3 Provozní náklady'!R11+'3 Provozní náklady'!R12</f>
        <v>0</v>
      </c>
      <c r="S11" s="618">
        <f>'3 Provozní náklady'!S11+'3 Provozní náklady'!S12</f>
        <v>0</v>
      </c>
      <c r="T11" s="618">
        <f>'3 Provozní náklady'!T11+'3 Provozní náklady'!T12</f>
        <v>0</v>
      </c>
      <c r="U11" s="618">
        <f>'3 Provozní náklady'!U11+'3 Provozní náklady'!U12</f>
        <v>0</v>
      </c>
      <c r="V11" s="618">
        <f>'3 Provozní náklady'!V11+'3 Provozní náklady'!V12</f>
        <v>0</v>
      </c>
      <c r="W11" s="618">
        <f>'3 Provozní náklady'!W11+'3 Provozní náklady'!W12</f>
        <v>0</v>
      </c>
      <c r="X11" s="618">
        <f>'3 Provozní náklady'!X11+'3 Provozní náklady'!X12</f>
        <v>0</v>
      </c>
      <c r="Y11" s="618">
        <f>'3 Provozní náklady'!Y11+'3 Provozní náklady'!Y12</f>
        <v>0</v>
      </c>
      <c r="Z11" s="618">
        <f>'3 Provozní náklady'!Z11+'3 Provozní náklady'!Z12</f>
        <v>0</v>
      </c>
      <c r="AA11" s="618">
        <f>'3 Provozní náklady'!AA11+'3 Provozní náklady'!AA12</f>
        <v>0</v>
      </c>
      <c r="AB11" s="618">
        <f>'3 Provozní náklady'!AB11+'3 Provozní náklady'!AB12</f>
        <v>0</v>
      </c>
      <c r="AC11" s="619">
        <f>'3 Provozní náklady'!AC11+'3 Provozní náklady'!AC12</f>
        <v>0</v>
      </c>
    </row>
    <row r="12" spans="2:29" ht="12">
      <c r="B12" s="620" t="s">
        <v>7</v>
      </c>
      <c r="C12" s="342" t="s">
        <v>98</v>
      </c>
      <c r="D12" s="631"/>
      <c r="E12" s="621">
        <f>'3 Provozní náklady'!E13</f>
        <v>0</v>
      </c>
      <c r="F12" s="622">
        <f>'3 Provozní náklady'!F13</f>
        <v>0</v>
      </c>
      <c r="G12" s="622">
        <f>'3 Provozní náklady'!G13</f>
        <v>0</v>
      </c>
      <c r="H12" s="622">
        <f>'3 Provozní náklady'!H13</f>
        <v>0</v>
      </c>
      <c r="I12" s="622">
        <f>'3 Provozní náklady'!I13</f>
        <v>0</v>
      </c>
      <c r="J12" s="622">
        <f>'3 Provozní náklady'!J13</f>
        <v>0</v>
      </c>
      <c r="K12" s="622">
        <f>'3 Provozní náklady'!K13</f>
        <v>0</v>
      </c>
      <c r="L12" s="622">
        <f>'3 Provozní náklady'!L13</f>
        <v>0</v>
      </c>
      <c r="M12" s="622">
        <f>'3 Provozní náklady'!M13</f>
        <v>0</v>
      </c>
      <c r="N12" s="622">
        <f>'3 Provozní náklady'!N13</f>
        <v>0</v>
      </c>
      <c r="O12" s="622">
        <f>'3 Provozní náklady'!O13</f>
        <v>0</v>
      </c>
      <c r="P12" s="622">
        <f>'3 Provozní náklady'!P13</f>
        <v>0</v>
      </c>
      <c r="Q12" s="622">
        <f>'3 Provozní náklady'!Q13</f>
        <v>0</v>
      </c>
      <c r="R12" s="622">
        <f>'3 Provozní náklady'!R13</f>
        <v>0</v>
      </c>
      <c r="S12" s="622">
        <f>'3 Provozní náklady'!S13</f>
        <v>0</v>
      </c>
      <c r="T12" s="622">
        <f>'3 Provozní náklady'!T13</f>
        <v>0</v>
      </c>
      <c r="U12" s="622">
        <f>'3 Provozní náklady'!U13</f>
        <v>0</v>
      </c>
      <c r="V12" s="622">
        <f>'3 Provozní náklady'!V13</f>
        <v>0</v>
      </c>
      <c r="W12" s="622">
        <f>'3 Provozní náklady'!W13</f>
        <v>0</v>
      </c>
      <c r="X12" s="622">
        <f>'3 Provozní náklady'!X13</f>
        <v>0</v>
      </c>
      <c r="Y12" s="622">
        <f>'3 Provozní náklady'!Y13</f>
        <v>0</v>
      </c>
      <c r="Z12" s="622">
        <f>'3 Provozní náklady'!Z13</f>
        <v>0</v>
      </c>
      <c r="AA12" s="622">
        <f>'3 Provozní náklady'!AA13</f>
        <v>0</v>
      </c>
      <c r="AB12" s="622">
        <f>'3 Provozní náklady'!AB13</f>
        <v>0</v>
      </c>
      <c r="AC12" s="623">
        <f>'3 Provozní náklady'!AC13</f>
        <v>0</v>
      </c>
    </row>
    <row r="13" spans="2:29" ht="12">
      <c r="B13" s="620" t="s">
        <v>8</v>
      </c>
      <c r="C13" s="337" t="s">
        <v>182</v>
      </c>
      <c r="D13" s="631"/>
      <c r="E13" s="621">
        <f>'4 Tržby'!E11+'4 Tržby'!E12</f>
        <v>0</v>
      </c>
      <c r="F13" s="622">
        <f>'4 Tržby'!F11+'4 Tržby'!F12</f>
        <v>0</v>
      </c>
      <c r="G13" s="622">
        <f>'4 Tržby'!G11+'4 Tržby'!G12</f>
        <v>0</v>
      </c>
      <c r="H13" s="622">
        <f>'4 Tržby'!H11+'4 Tržby'!H12</f>
        <v>0</v>
      </c>
      <c r="I13" s="622">
        <f>'4 Tržby'!I11+'4 Tržby'!I12</f>
        <v>0</v>
      </c>
      <c r="J13" s="622">
        <f>'4 Tržby'!J11+'4 Tržby'!J12</f>
        <v>0</v>
      </c>
      <c r="K13" s="622">
        <f>'4 Tržby'!K11+'4 Tržby'!K12</f>
        <v>0</v>
      </c>
      <c r="L13" s="622">
        <f>'4 Tržby'!L11+'4 Tržby'!L12</f>
        <v>0</v>
      </c>
      <c r="M13" s="622">
        <f>'4 Tržby'!M11+'4 Tržby'!M12</f>
        <v>0</v>
      </c>
      <c r="N13" s="622">
        <f>'4 Tržby'!N11+'4 Tržby'!N12</f>
        <v>0</v>
      </c>
      <c r="O13" s="622">
        <f>'4 Tržby'!O11+'4 Tržby'!O12</f>
        <v>0</v>
      </c>
      <c r="P13" s="622">
        <f>'4 Tržby'!P11+'4 Tržby'!P12</f>
        <v>0</v>
      </c>
      <c r="Q13" s="622">
        <f>'4 Tržby'!Q11+'4 Tržby'!Q12</f>
        <v>0</v>
      </c>
      <c r="R13" s="622">
        <f>'4 Tržby'!R11+'4 Tržby'!R12</f>
        <v>0</v>
      </c>
      <c r="S13" s="622">
        <f>'4 Tržby'!S11+'4 Tržby'!S12</f>
        <v>0</v>
      </c>
      <c r="T13" s="622">
        <f>'4 Tržby'!T11+'4 Tržby'!T12</f>
        <v>0</v>
      </c>
      <c r="U13" s="622">
        <f>'4 Tržby'!U11+'4 Tržby'!U12</f>
        <v>0</v>
      </c>
      <c r="V13" s="622">
        <f>'4 Tržby'!V11+'4 Tržby'!V12</f>
        <v>0</v>
      </c>
      <c r="W13" s="622">
        <f>'4 Tržby'!W11+'4 Tržby'!W12</f>
        <v>0</v>
      </c>
      <c r="X13" s="622">
        <f>'4 Tržby'!X11+'4 Tržby'!X12</f>
        <v>0</v>
      </c>
      <c r="Y13" s="622">
        <f>'4 Tržby'!Y11+'4 Tržby'!Y12</f>
        <v>0</v>
      </c>
      <c r="Z13" s="622">
        <f>'4 Tržby'!Z11+'4 Tržby'!Z12</f>
        <v>0</v>
      </c>
      <c r="AA13" s="622">
        <f>'4 Tržby'!AA11+'4 Tržby'!AA12</f>
        <v>0</v>
      </c>
      <c r="AB13" s="622">
        <f>'4 Tržby'!AB11+'4 Tržby'!AB12</f>
        <v>0</v>
      </c>
      <c r="AC13" s="623">
        <f>'4 Tržby'!AC11+'4 Tržby'!AC12</f>
        <v>0</v>
      </c>
    </row>
    <row r="14" spans="2:29" ht="12.75" thickBot="1">
      <c r="B14" s="624" t="s">
        <v>9</v>
      </c>
      <c r="C14" s="625" t="s">
        <v>296</v>
      </c>
      <c r="D14" s="632"/>
      <c r="E14" s="627">
        <f>IF((E11+E12-E13)&gt;0,E11+E12-E13,0)</f>
        <v>0</v>
      </c>
      <c r="F14" s="628">
        <f aca="true" t="shared" si="6" ref="F14:S14">IF((F11+F12-F13)&gt;0,F11+F12-F13,0)</f>
        <v>0</v>
      </c>
      <c r="G14" s="628">
        <f t="shared" si="6"/>
        <v>0</v>
      </c>
      <c r="H14" s="628">
        <f t="shared" si="6"/>
        <v>0</v>
      </c>
      <c r="I14" s="628">
        <f t="shared" si="6"/>
        <v>0</v>
      </c>
      <c r="J14" s="628">
        <f t="shared" si="6"/>
        <v>0</v>
      </c>
      <c r="K14" s="628">
        <f t="shared" si="6"/>
        <v>0</v>
      </c>
      <c r="L14" s="628">
        <f t="shared" si="6"/>
        <v>0</v>
      </c>
      <c r="M14" s="628">
        <f t="shared" si="6"/>
        <v>0</v>
      </c>
      <c r="N14" s="628">
        <f t="shared" si="6"/>
        <v>0</v>
      </c>
      <c r="O14" s="628">
        <f t="shared" si="6"/>
        <v>0</v>
      </c>
      <c r="P14" s="628">
        <f t="shared" si="6"/>
        <v>0</v>
      </c>
      <c r="Q14" s="628">
        <f t="shared" si="6"/>
        <v>0</v>
      </c>
      <c r="R14" s="628">
        <f t="shared" si="6"/>
        <v>0</v>
      </c>
      <c r="S14" s="628">
        <f t="shared" si="6"/>
        <v>0</v>
      </c>
      <c r="T14" s="628">
        <f aca="true" t="shared" si="7" ref="T14:AC14">IF((T11+T12-T13)&gt;0,T11+T12-T13,0)</f>
        <v>0</v>
      </c>
      <c r="U14" s="628">
        <f t="shared" si="7"/>
        <v>0</v>
      </c>
      <c r="V14" s="628">
        <f t="shared" si="7"/>
        <v>0</v>
      </c>
      <c r="W14" s="628">
        <f t="shared" si="7"/>
        <v>0</v>
      </c>
      <c r="X14" s="628">
        <f t="shared" si="7"/>
        <v>0</v>
      </c>
      <c r="Y14" s="628">
        <f t="shared" si="7"/>
        <v>0</v>
      </c>
      <c r="Z14" s="628">
        <f t="shared" si="7"/>
        <v>0</v>
      </c>
      <c r="AA14" s="628">
        <f t="shared" si="7"/>
        <v>0</v>
      </c>
      <c r="AB14" s="628">
        <f t="shared" si="7"/>
        <v>0</v>
      </c>
      <c r="AC14" s="629">
        <f t="shared" si="7"/>
        <v>0</v>
      </c>
    </row>
    <row r="15" spans="2:29" ht="12">
      <c r="B15" s="607"/>
      <c r="C15" s="199"/>
      <c r="D15" s="284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</row>
    <row r="16" spans="3:29" ht="12" thickBot="1">
      <c r="C16" s="469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</row>
    <row r="17" spans="2:29" ht="12.75">
      <c r="B17" s="633" t="s">
        <v>237</v>
      </c>
      <c r="C17" s="364" t="s">
        <v>107</v>
      </c>
      <c r="D17" s="488"/>
      <c r="E17" s="976">
        <f>E2</f>
        <v>2014</v>
      </c>
      <c r="F17" s="976">
        <f aca="true" t="shared" si="8" ref="F17:S17">E17+1</f>
        <v>2015</v>
      </c>
      <c r="G17" s="976">
        <f t="shared" si="8"/>
        <v>2016</v>
      </c>
      <c r="H17" s="976">
        <f t="shared" si="8"/>
        <v>2017</v>
      </c>
      <c r="I17" s="976">
        <f t="shared" si="8"/>
        <v>2018</v>
      </c>
      <c r="J17" s="976">
        <f t="shared" si="8"/>
        <v>2019</v>
      </c>
      <c r="K17" s="976">
        <f t="shared" si="8"/>
        <v>2020</v>
      </c>
      <c r="L17" s="976">
        <f t="shared" si="8"/>
        <v>2021</v>
      </c>
      <c r="M17" s="976">
        <f t="shared" si="8"/>
        <v>2022</v>
      </c>
      <c r="N17" s="976">
        <f t="shared" si="8"/>
        <v>2023</v>
      </c>
      <c r="O17" s="976">
        <f t="shared" si="8"/>
        <v>2024</v>
      </c>
      <c r="P17" s="976">
        <f>O17+1</f>
        <v>2025</v>
      </c>
      <c r="Q17" s="976">
        <f t="shared" si="8"/>
        <v>2026</v>
      </c>
      <c r="R17" s="976">
        <f t="shared" si="8"/>
        <v>2027</v>
      </c>
      <c r="S17" s="976">
        <f t="shared" si="8"/>
        <v>2028</v>
      </c>
      <c r="T17" s="976">
        <f aca="true" t="shared" si="9" ref="T17:AC17">S17+1</f>
        <v>2029</v>
      </c>
      <c r="U17" s="976">
        <f t="shared" si="9"/>
        <v>2030</v>
      </c>
      <c r="V17" s="976">
        <f t="shared" si="9"/>
        <v>2031</v>
      </c>
      <c r="W17" s="976">
        <f t="shared" si="9"/>
        <v>2032</v>
      </c>
      <c r="X17" s="976">
        <f t="shared" si="9"/>
        <v>2033</v>
      </c>
      <c r="Y17" s="976">
        <f t="shared" si="9"/>
        <v>2034</v>
      </c>
      <c r="Z17" s="976">
        <f t="shared" si="9"/>
        <v>2035</v>
      </c>
      <c r="AA17" s="976">
        <f t="shared" si="9"/>
        <v>2036</v>
      </c>
      <c r="AB17" s="976">
        <f t="shared" si="9"/>
        <v>2037</v>
      </c>
      <c r="AC17" s="990">
        <f t="shared" si="9"/>
        <v>2038</v>
      </c>
    </row>
    <row r="18" spans="2:29" ht="13.5" thickBot="1">
      <c r="B18" s="366" t="s">
        <v>25</v>
      </c>
      <c r="C18" s="367"/>
      <c r="D18" s="368" t="s">
        <v>83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91"/>
    </row>
    <row r="19" spans="2:43" s="285" customFormat="1" ht="12">
      <c r="B19" s="634" t="s">
        <v>10</v>
      </c>
      <c r="C19" s="616" t="s">
        <v>108</v>
      </c>
      <c r="D19" s="338">
        <f>SUM(E19:AC19,E26:AC26)</f>
        <v>0</v>
      </c>
      <c r="E19" s="617">
        <f>'3 Provozní náklady'!E19+'3 Provozní náklady'!E20</f>
        <v>0</v>
      </c>
      <c r="F19" s="618">
        <f>'3 Provozní náklady'!F19+'3 Provozní náklady'!F20</f>
        <v>0</v>
      </c>
      <c r="G19" s="618">
        <f>'3 Provozní náklady'!G19+'3 Provozní náklady'!G20</f>
        <v>0</v>
      </c>
      <c r="H19" s="618">
        <f>'3 Provozní náklady'!H19+'3 Provozní náklady'!H20</f>
        <v>0</v>
      </c>
      <c r="I19" s="618">
        <f>'3 Provozní náklady'!I19+'3 Provozní náklady'!I20</f>
        <v>0</v>
      </c>
      <c r="J19" s="618">
        <f>'3 Provozní náklady'!J19+'3 Provozní náklady'!J20</f>
        <v>0</v>
      </c>
      <c r="K19" s="618">
        <f>'3 Provozní náklady'!K19+'3 Provozní náklady'!K20</f>
        <v>0</v>
      </c>
      <c r="L19" s="618">
        <f>'3 Provozní náklady'!L19+'3 Provozní náklady'!L20</f>
        <v>0</v>
      </c>
      <c r="M19" s="618">
        <f>'3 Provozní náklady'!M19+'3 Provozní náklady'!M20</f>
        <v>0</v>
      </c>
      <c r="N19" s="618">
        <f>'3 Provozní náklady'!N19+'3 Provozní náklady'!N20</f>
        <v>0</v>
      </c>
      <c r="O19" s="618">
        <f>'3 Provozní náklady'!O19+'3 Provozní náklady'!O20</f>
        <v>0</v>
      </c>
      <c r="P19" s="618">
        <f>'3 Provozní náklady'!P19+'3 Provozní náklady'!P20</f>
        <v>0</v>
      </c>
      <c r="Q19" s="618">
        <f>'3 Provozní náklady'!Q19+'3 Provozní náklady'!Q20</f>
        <v>0</v>
      </c>
      <c r="R19" s="618">
        <f>'3 Provozní náklady'!R19+'3 Provozní náklady'!R20</f>
        <v>0</v>
      </c>
      <c r="S19" s="618">
        <f>'3 Provozní náklady'!S19+'3 Provozní náklady'!S20</f>
        <v>0</v>
      </c>
      <c r="T19" s="618">
        <f>'3 Provozní náklady'!T19+'3 Provozní náklady'!T20</f>
        <v>0</v>
      </c>
      <c r="U19" s="618">
        <f>'3 Provozní náklady'!U19+'3 Provozní náklady'!U20</f>
        <v>0</v>
      </c>
      <c r="V19" s="618">
        <f>'3 Provozní náklady'!V19+'3 Provozní náklady'!V20</f>
        <v>0</v>
      </c>
      <c r="W19" s="618">
        <f>'3 Provozní náklady'!W19+'3 Provozní náklady'!W20</f>
        <v>0</v>
      </c>
      <c r="X19" s="618">
        <f>'3 Provozní náklady'!X19+'3 Provozní náklady'!X20</f>
        <v>0</v>
      </c>
      <c r="Y19" s="618">
        <f>'3 Provozní náklady'!Y19+'3 Provozní náklady'!Y20</f>
        <v>0</v>
      </c>
      <c r="Z19" s="618">
        <f>'3 Provozní náklady'!Z19+'3 Provozní náklady'!Z20</f>
        <v>0</v>
      </c>
      <c r="AA19" s="618">
        <f>'3 Provozní náklady'!AA19+'3 Provozní náklady'!AA20</f>
        <v>0</v>
      </c>
      <c r="AB19" s="618">
        <f>'3 Provozní náklady'!AB19+'3 Provozní náklady'!AB20</f>
        <v>0</v>
      </c>
      <c r="AC19" s="619">
        <f>'3 Provozní náklady'!AC19+'3 Provozní náklady'!AC20</f>
        <v>0</v>
      </c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</row>
    <row r="20" spans="2:29" ht="12">
      <c r="B20" s="620" t="s">
        <v>5</v>
      </c>
      <c r="C20" s="342" t="s">
        <v>98</v>
      </c>
      <c r="D20" s="341">
        <f>SUM(E20:AC20,E27:AC27)</f>
        <v>0</v>
      </c>
      <c r="E20" s="621">
        <f>'3 Provozní náklady'!E21</f>
        <v>0</v>
      </c>
      <c r="F20" s="622">
        <f>'3 Provozní náklady'!F21</f>
        <v>0</v>
      </c>
      <c r="G20" s="622">
        <f>'3 Provozní náklady'!G21</f>
        <v>0</v>
      </c>
      <c r="H20" s="622">
        <f>'3 Provozní náklady'!H21</f>
        <v>0</v>
      </c>
      <c r="I20" s="622">
        <f>'3 Provozní náklady'!I21</f>
        <v>0</v>
      </c>
      <c r="J20" s="622">
        <f>'3 Provozní náklady'!J21</f>
        <v>0</v>
      </c>
      <c r="K20" s="622">
        <f>'3 Provozní náklady'!K21</f>
        <v>0</v>
      </c>
      <c r="L20" s="622">
        <f>'3 Provozní náklady'!L21</f>
        <v>0</v>
      </c>
      <c r="M20" s="622">
        <f>'3 Provozní náklady'!M21</f>
        <v>0</v>
      </c>
      <c r="N20" s="622">
        <f>'3 Provozní náklady'!N21</f>
        <v>0</v>
      </c>
      <c r="O20" s="622">
        <f>'3 Provozní náklady'!O21</f>
        <v>0</v>
      </c>
      <c r="P20" s="622">
        <f>'3 Provozní náklady'!P21</f>
        <v>0</v>
      </c>
      <c r="Q20" s="622">
        <f>'3 Provozní náklady'!Q21</f>
        <v>0</v>
      </c>
      <c r="R20" s="622">
        <f>'3 Provozní náklady'!R21</f>
        <v>0</v>
      </c>
      <c r="S20" s="622">
        <f>'3 Provozní náklady'!S21</f>
        <v>0</v>
      </c>
      <c r="T20" s="622">
        <f>'3 Provozní náklady'!T21</f>
        <v>0</v>
      </c>
      <c r="U20" s="622">
        <f>'3 Provozní náklady'!U21</f>
        <v>0</v>
      </c>
      <c r="V20" s="622">
        <f>'3 Provozní náklady'!V21</f>
        <v>0</v>
      </c>
      <c r="W20" s="622">
        <f>'3 Provozní náklady'!W21</f>
        <v>0</v>
      </c>
      <c r="X20" s="622">
        <f>'3 Provozní náklady'!X21</f>
        <v>0</v>
      </c>
      <c r="Y20" s="622">
        <f>'3 Provozní náklady'!Y21</f>
        <v>0</v>
      </c>
      <c r="Z20" s="622">
        <f>'3 Provozní náklady'!Z21</f>
        <v>0</v>
      </c>
      <c r="AA20" s="622">
        <f>'3 Provozní náklady'!AA21</f>
        <v>0</v>
      </c>
      <c r="AB20" s="622">
        <f>'3 Provozní náklady'!AB21</f>
        <v>0</v>
      </c>
      <c r="AC20" s="623">
        <f>'3 Provozní náklady'!AC21</f>
        <v>0</v>
      </c>
    </row>
    <row r="21" spans="2:29" ht="12" customHeight="1">
      <c r="B21" s="620" t="s">
        <v>11</v>
      </c>
      <c r="C21" s="337" t="s">
        <v>182</v>
      </c>
      <c r="D21" s="341">
        <f>SUM(E21:AC21,E28:AC28)</f>
        <v>0</v>
      </c>
      <c r="E21" s="621">
        <f>'4 Tržby'!E19+'4 Tržby'!E20</f>
        <v>0</v>
      </c>
      <c r="F21" s="622">
        <f>'4 Tržby'!F19+'4 Tržby'!F20</f>
        <v>0</v>
      </c>
      <c r="G21" s="622">
        <f>'4 Tržby'!G19+'4 Tržby'!G20</f>
        <v>0</v>
      </c>
      <c r="H21" s="622">
        <f>'4 Tržby'!H19+'4 Tržby'!H20</f>
        <v>0</v>
      </c>
      <c r="I21" s="622">
        <f>'4 Tržby'!I19+'4 Tržby'!I20</f>
        <v>0</v>
      </c>
      <c r="J21" s="622">
        <f>'4 Tržby'!J19+'4 Tržby'!J20</f>
        <v>0</v>
      </c>
      <c r="K21" s="622">
        <f>'4 Tržby'!K19+'4 Tržby'!K20</f>
        <v>0</v>
      </c>
      <c r="L21" s="622">
        <f>'4 Tržby'!L19+'4 Tržby'!L20</f>
        <v>0</v>
      </c>
      <c r="M21" s="622">
        <f>'4 Tržby'!M19+'4 Tržby'!M20</f>
        <v>0</v>
      </c>
      <c r="N21" s="622">
        <f>'4 Tržby'!N19+'4 Tržby'!N20</f>
        <v>0</v>
      </c>
      <c r="O21" s="622">
        <f>'4 Tržby'!O19+'4 Tržby'!O20</f>
        <v>0</v>
      </c>
      <c r="P21" s="622">
        <f>'4 Tržby'!P19+'4 Tržby'!P20</f>
        <v>0</v>
      </c>
      <c r="Q21" s="622">
        <f>'4 Tržby'!Q19+'4 Tržby'!Q20</f>
        <v>0</v>
      </c>
      <c r="R21" s="622">
        <f>'4 Tržby'!R19+'4 Tržby'!R20</f>
        <v>0</v>
      </c>
      <c r="S21" s="622">
        <f>'4 Tržby'!S19+'4 Tržby'!S20</f>
        <v>0</v>
      </c>
      <c r="T21" s="622">
        <f>'4 Tržby'!T19+'4 Tržby'!T20</f>
        <v>0</v>
      </c>
      <c r="U21" s="622">
        <f>'4 Tržby'!U19+'4 Tržby'!U20</f>
        <v>0</v>
      </c>
      <c r="V21" s="622">
        <f>'4 Tržby'!V19+'4 Tržby'!V20</f>
        <v>0</v>
      </c>
      <c r="W21" s="622">
        <f>'4 Tržby'!W19+'4 Tržby'!W20</f>
        <v>0</v>
      </c>
      <c r="X21" s="622">
        <f>'4 Tržby'!X19+'4 Tržby'!X20</f>
        <v>0</v>
      </c>
      <c r="Y21" s="622">
        <f>'4 Tržby'!Y19+'4 Tržby'!Y20</f>
        <v>0</v>
      </c>
      <c r="Z21" s="622">
        <f>'4 Tržby'!Z19+'4 Tržby'!Z20</f>
        <v>0</v>
      </c>
      <c r="AA21" s="622">
        <f>'4 Tržby'!AA19+'4 Tržby'!AA20</f>
        <v>0</v>
      </c>
      <c r="AB21" s="622">
        <f>'4 Tržby'!AB19+'4 Tržby'!AB20</f>
        <v>0</v>
      </c>
      <c r="AC21" s="623">
        <f>'4 Tržby'!AC19+'4 Tržby'!AC20</f>
        <v>0</v>
      </c>
    </row>
    <row r="22" spans="2:29" ht="12.75" thickBot="1">
      <c r="B22" s="624" t="s">
        <v>12</v>
      </c>
      <c r="C22" s="625" t="s">
        <v>296</v>
      </c>
      <c r="D22" s="626">
        <f>SUM(E22:AC22,E29:AC29)</f>
        <v>0</v>
      </c>
      <c r="E22" s="635">
        <f>IF((E19+E20-E21)&gt;0,E19+E20-E21,0)</f>
        <v>0</v>
      </c>
      <c r="F22" s="636">
        <f aca="true" t="shared" si="10" ref="F22:AC22">IF((F19+F20-F21)&gt;0,F19+F20-F21,0)</f>
        <v>0</v>
      </c>
      <c r="G22" s="636">
        <f t="shared" si="10"/>
        <v>0</v>
      </c>
      <c r="H22" s="636">
        <f t="shared" si="10"/>
        <v>0</v>
      </c>
      <c r="I22" s="636">
        <f t="shared" si="10"/>
        <v>0</v>
      </c>
      <c r="J22" s="636">
        <f t="shared" si="10"/>
        <v>0</v>
      </c>
      <c r="K22" s="636">
        <f t="shared" si="10"/>
        <v>0</v>
      </c>
      <c r="L22" s="636">
        <f t="shared" si="10"/>
        <v>0</v>
      </c>
      <c r="M22" s="636">
        <f t="shared" si="10"/>
        <v>0</v>
      </c>
      <c r="N22" s="636">
        <f t="shared" si="10"/>
        <v>0</v>
      </c>
      <c r="O22" s="636">
        <f t="shared" si="10"/>
        <v>0</v>
      </c>
      <c r="P22" s="636">
        <f t="shared" si="10"/>
        <v>0</v>
      </c>
      <c r="Q22" s="636">
        <f t="shared" si="10"/>
        <v>0</v>
      </c>
      <c r="R22" s="636">
        <f t="shared" si="10"/>
        <v>0</v>
      </c>
      <c r="S22" s="636">
        <f t="shared" si="10"/>
        <v>0</v>
      </c>
      <c r="T22" s="636">
        <f t="shared" si="10"/>
        <v>0</v>
      </c>
      <c r="U22" s="636">
        <f t="shared" si="10"/>
        <v>0</v>
      </c>
      <c r="V22" s="636">
        <f t="shared" si="10"/>
        <v>0</v>
      </c>
      <c r="W22" s="636">
        <f t="shared" si="10"/>
        <v>0</v>
      </c>
      <c r="X22" s="636">
        <f t="shared" si="10"/>
        <v>0</v>
      </c>
      <c r="Y22" s="636">
        <f t="shared" si="10"/>
        <v>0</v>
      </c>
      <c r="Z22" s="636">
        <f t="shared" si="10"/>
        <v>0</v>
      </c>
      <c r="AA22" s="636">
        <f t="shared" si="10"/>
        <v>0</v>
      </c>
      <c r="AB22" s="636">
        <f t="shared" si="10"/>
        <v>0</v>
      </c>
      <c r="AC22" s="637">
        <f t="shared" si="10"/>
        <v>0</v>
      </c>
    </row>
    <row r="23" spans="3:29" ht="12" thickBot="1">
      <c r="C23" s="285"/>
      <c r="D23" s="285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</row>
    <row r="24" spans="2:29" ht="12.75">
      <c r="B24" s="633" t="s">
        <v>237</v>
      </c>
      <c r="C24" s="364" t="s">
        <v>107</v>
      </c>
      <c r="D24" s="488"/>
      <c r="E24" s="986">
        <f>AC17+1</f>
        <v>2039</v>
      </c>
      <c r="F24" s="976">
        <f aca="true" t="shared" si="11" ref="F24:S24">E24+1</f>
        <v>2040</v>
      </c>
      <c r="G24" s="976">
        <f t="shared" si="11"/>
        <v>2041</v>
      </c>
      <c r="H24" s="976">
        <f t="shared" si="11"/>
        <v>2042</v>
      </c>
      <c r="I24" s="976">
        <f t="shared" si="11"/>
        <v>2043</v>
      </c>
      <c r="J24" s="976">
        <f t="shared" si="11"/>
        <v>2044</v>
      </c>
      <c r="K24" s="976">
        <f t="shared" si="11"/>
        <v>2045</v>
      </c>
      <c r="L24" s="976">
        <f t="shared" si="11"/>
        <v>2046</v>
      </c>
      <c r="M24" s="976">
        <f t="shared" si="11"/>
        <v>2047</v>
      </c>
      <c r="N24" s="976">
        <f t="shared" si="11"/>
        <v>2048</v>
      </c>
      <c r="O24" s="976">
        <f t="shared" si="11"/>
        <v>2049</v>
      </c>
      <c r="P24" s="976">
        <f>O24+1</f>
        <v>2050</v>
      </c>
      <c r="Q24" s="976">
        <f t="shared" si="11"/>
        <v>2051</v>
      </c>
      <c r="R24" s="976">
        <f t="shared" si="11"/>
        <v>2052</v>
      </c>
      <c r="S24" s="976">
        <f t="shared" si="11"/>
        <v>2053</v>
      </c>
      <c r="T24" s="976">
        <f aca="true" t="shared" si="12" ref="T24:AC24">S24+1</f>
        <v>2054</v>
      </c>
      <c r="U24" s="976">
        <f t="shared" si="12"/>
        <v>2055</v>
      </c>
      <c r="V24" s="976">
        <f t="shared" si="12"/>
        <v>2056</v>
      </c>
      <c r="W24" s="976">
        <f t="shared" si="12"/>
        <v>2057</v>
      </c>
      <c r="X24" s="976">
        <f t="shared" si="12"/>
        <v>2058</v>
      </c>
      <c r="Y24" s="976">
        <f t="shared" si="12"/>
        <v>2059</v>
      </c>
      <c r="Z24" s="976">
        <f t="shared" si="12"/>
        <v>2060</v>
      </c>
      <c r="AA24" s="976">
        <f t="shared" si="12"/>
        <v>2061</v>
      </c>
      <c r="AB24" s="976">
        <f t="shared" si="12"/>
        <v>2062</v>
      </c>
      <c r="AC24" s="990">
        <f t="shared" si="12"/>
        <v>2063</v>
      </c>
    </row>
    <row r="25" spans="2:30" s="285" customFormat="1" ht="13.5" thickBot="1">
      <c r="B25" s="366" t="s">
        <v>26</v>
      </c>
      <c r="C25" s="367"/>
      <c r="D25" s="370"/>
      <c r="E25" s="98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91"/>
      <c r="AD25" s="465"/>
    </row>
    <row r="26" spans="2:43" s="285" customFormat="1" ht="12">
      <c r="B26" s="634" t="s">
        <v>10</v>
      </c>
      <c r="C26" s="616" t="s">
        <v>108</v>
      </c>
      <c r="D26" s="353"/>
      <c r="E26" s="384">
        <f>'3 Provozní náklady'!E26+'3 Provozní náklady'!E27</f>
        <v>0</v>
      </c>
      <c r="F26" s="385">
        <f>'3 Provozní náklady'!F26+'3 Provozní náklady'!F27</f>
        <v>0</v>
      </c>
      <c r="G26" s="385">
        <f>'3 Provozní náklady'!G26+'3 Provozní náklady'!G27</f>
        <v>0</v>
      </c>
      <c r="H26" s="385">
        <f>'3 Provozní náklady'!H26+'3 Provozní náklady'!H27</f>
        <v>0</v>
      </c>
      <c r="I26" s="385">
        <f>'3 Provozní náklady'!I26+'3 Provozní náklady'!I27</f>
        <v>0</v>
      </c>
      <c r="J26" s="385">
        <f>'3 Provozní náklady'!J26+'3 Provozní náklady'!J27</f>
        <v>0</v>
      </c>
      <c r="K26" s="385">
        <f>'3 Provozní náklady'!K26+'3 Provozní náklady'!K27</f>
        <v>0</v>
      </c>
      <c r="L26" s="385">
        <f>'3 Provozní náklady'!L26+'3 Provozní náklady'!L27</f>
        <v>0</v>
      </c>
      <c r="M26" s="385">
        <f>'3 Provozní náklady'!M26+'3 Provozní náklady'!M27</f>
        <v>0</v>
      </c>
      <c r="N26" s="385">
        <f>'3 Provozní náklady'!N26+'3 Provozní náklady'!N27</f>
        <v>0</v>
      </c>
      <c r="O26" s="385">
        <f>'3 Provozní náklady'!O26+'3 Provozní náklady'!O27</f>
        <v>0</v>
      </c>
      <c r="P26" s="385">
        <f>'3 Provozní náklady'!P26+'3 Provozní náklady'!P27</f>
        <v>0</v>
      </c>
      <c r="Q26" s="385">
        <f>'3 Provozní náklady'!Q26+'3 Provozní náklady'!Q27</f>
        <v>0</v>
      </c>
      <c r="R26" s="385">
        <f>'3 Provozní náklady'!R26+'3 Provozní náklady'!R27</f>
        <v>0</v>
      </c>
      <c r="S26" s="385">
        <f>'3 Provozní náklady'!S26+'3 Provozní náklady'!S27</f>
        <v>0</v>
      </c>
      <c r="T26" s="385">
        <f>'3 Provozní náklady'!T26+'3 Provozní náklady'!T27</f>
        <v>0</v>
      </c>
      <c r="U26" s="385">
        <f>'3 Provozní náklady'!U26+'3 Provozní náklady'!U27</f>
        <v>0</v>
      </c>
      <c r="V26" s="385">
        <f>'3 Provozní náklady'!V26+'3 Provozní náklady'!V27</f>
        <v>0</v>
      </c>
      <c r="W26" s="385">
        <f>'3 Provozní náklady'!W26+'3 Provozní náklady'!W27</f>
        <v>0</v>
      </c>
      <c r="X26" s="385">
        <f>'3 Provozní náklady'!X26+'3 Provozní náklady'!X27</f>
        <v>0</v>
      </c>
      <c r="Y26" s="385">
        <f>'3 Provozní náklady'!Y26+'3 Provozní náklady'!Y27</f>
        <v>0</v>
      </c>
      <c r="Z26" s="385">
        <f>'3 Provozní náklady'!Z26+'3 Provozní náklady'!Z27</f>
        <v>0</v>
      </c>
      <c r="AA26" s="385">
        <f>'3 Provozní náklady'!AA26+'3 Provozní náklady'!AA27</f>
        <v>0</v>
      </c>
      <c r="AB26" s="385">
        <f>'3 Provozní náklady'!AB26+'3 Provozní náklady'!AB27</f>
        <v>0</v>
      </c>
      <c r="AC26" s="386">
        <f>'3 Provozní náklady'!AC26+'3 Provozní náklady'!AC27</f>
        <v>0</v>
      </c>
      <c r="AD26" s="608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</row>
    <row r="27" spans="2:30" ht="12">
      <c r="B27" s="620" t="s">
        <v>5</v>
      </c>
      <c r="C27" s="342" t="s">
        <v>98</v>
      </c>
      <c r="D27" s="355"/>
      <c r="E27" s="621">
        <f>'3 Provozní náklady'!E28</f>
        <v>0</v>
      </c>
      <c r="F27" s="622">
        <f>'3 Provozní náklady'!F28</f>
        <v>0</v>
      </c>
      <c r="G27" s="622">
        <f>'3 Provozní náklady'!G28</f>
        <v>0</v>
      </c>
      <c r="H27" s="622">
        <f>'3 Provozní náklady'!H28</f>
        <v>0</v>
      </c>
      <c r="I27" s="622">
        <f>'3 Provozní náklady'!I28</f>
        <v>0</v>
      </c>
      <c r="J27" s="622">
        <f>'3 Provozní náklady'!J28</f>
        <v>0</v>
      </c>
      <c r="K27" s="622">
        <f>'3 Provozní náklady'!K28</f>
        <v>0</v>
      </c>
      <c r="L27" s="622">
        <f>'3 Provozní náklady'!L28</f>
        <v>0</v>
      </c>
      <c r="M27" s="622">
        <f>'3 Provozní náklady'!M28</f>
        <v>0</v>
      </c>
      <c r="N27" s="622">
        <f>'3 Provozní náklady'!N28</f>
        <v>0</v>
      </c>
      <c r="O27" s="622">
        <f>'3 Provozní náklady'!O28</f>
        <v>0</v>
      </c>
      <c r="P27" s="622">
        <f>'3 Provozní náklady'!P28</f>
        <v>0</v>
      </c>
      <c r="Q27" s="622">
        <f>'3 Provozní náklady'!Q28</f>
        <v>0</v>
      </c>
      <c r="R27" s="622">
        <f>'3 Provozní náklady'!R28</f>
        <v>0</v>
      </c>
      <c r="S27" s="622">
        <f>'3 Provozní náklady'!S28</f>
        <v>0</v>
      </c>
      <c r="T27" s="622">
        <f>'3 Provozní náklady'!T28</f>
        <v>0</v>
      </c>
      <c r="U27" s="622">
        <f>'3 Provozní náklady'!U28</f>
        <v>0</v>
      </c>
      <c r="V27" s="622">
        <f>'3 Provozní náklady'!V28</f>
        <v>0</v>
      </c>
      <c r="W27" s="622">
        <f>'3 Provozní náklady'!W28</f>
        <v>0</v>
      </c>
      <c r="X27" s="622">
        <f>'3 Provozní náklady'!X28</f>
        <v>0</v>
      </c>
      <c r="Y27" s="622">
        <f>'3 Provozní náklady'!Y28</f>
        <v>0</v>
      </c>
      <c r="Z27" s="622">
        <f>'3 Provozní náklady'!Z28</f>
        <v>0</v>
      </c>
      <c r="AA27" s="622">
        <f>'3 Provozní náklady'!AA28</f>
        <v>0</v>
      </c>
      <c r="AB27" s="622">
        <f>'3 Provozní náklady'!AB28</f>
        <v>0</v>
      </c>
      <c r="AC27" s="623">
        <f>'3 Provozní náklady'!AC28</f>
        <v>0</v>
      </c>
      <c r="AD27" s="608"/>
    </row>
    <row r="28" spans="2:30" ht="12">
      <c r="B28" s="620" t="s">
        <v>11</v>
      </c>
      <c r="C28" s="337" t="s">
        <v>182</v>
      </c>
      <c r="D28" s="355"/>
      <c r="E28" s="621">
        <f>'4 Tržby'!E26+'4 Tržby'!E27</f>
        <v>0</v>
      </c>
      <c r="F28" s="622">
        <f>'4 Tržby'!F26+'4 Tržby'!F27</f>
        <v>0</v>
      </c>
      <c r="G28" s="622">
        <f>'4 Tržby'!G26+'4 Tržby'!G27</f>
        <v>0</v>
      </c>
      <c r="H28" s="622">
        <f>'4 Tržby'!H26+'4 Tržby'!H27</f>
        <v>0</v>
      </c>
      <c r="I28" s="622">
        <f>'4 Tržby'!I26+'4 Tržby'!I27</f>
        <v>0</v>
      </c>
      <c r="J28" s="622">
        <f>'4 Tržby'!J26+'4 Tržby'!J27</f>
        <v>0</v>
      </c>
      <c r="K28" s="622">
        <f>'4 Tržby'!K26+'4 Tržby'!K27</f>
        <v>0</v>
      </c>
      <c r="L28" s="622">
        <f>'4 Tržby'!L26+'4 Tržby'!L27</f>
        <v>0</v>
      </c>
      <c r="M28" s="622">
        <f>'4 Tržby'!M26+'4 Tržby'!M27</f>
        <v>0</v>
      </c>
      <c r="N28" s="622">
        <f>'4 Tržby'!N26+'4 Tržby'!N27</f>
        <v>0</v>
      </c>
      <c r="O28" s="622">
        <f>'4 Tržby'!O26+'4 Tržby'!O27</f>
        <v>0</v>
      </c>
      <c r="P28" s="622">
        <f>'4 Tržby'!P26+'4 Tržby'!P27</f>
        <v>0</v>
      </c>
      <c r="Q28" s="622">
        <f>'4 Tržby'!Q26+'4 Tržby'!Q27</f>
        <v>0</v>
      </c>
      <c r="R28" s="622">
        <f>'4 Tržby'!R26+'4 Tržby'!R27</f>
        <v>0</v>
      </c>
      <c r="S28" s="622">
        <f>'4 Tržby'!S26+'4 Tržby'!S27</f>
        <v>0</v>
      </c>
      <c r="T28" s="622">
        <f>'4 Tržby'!T26+'4 Tržby'!T27</f>
        <v>0</v>
      </c>
      <c r="U28" s="622">
        <f>'4 Tržby'!U26+'4 Tržby'!U27</f>
        <v>0</v>
      </c>
      <c r="V28" s="622">
        <f>'4 Tržby'!V26+'4 Tržby'!V27</f>
        <v>0</v>
      </c>
      <c r="W28" s="622">
        <f>'4 Tržby'!W26+'4 Tržby'!W27</f>
        <v>0</v>
      </c>
      <c r="X28" s="622">
        <f>'4 Tržby'!X26+'4 Tržby'!X27</f>
        <v>0</v>
      </c>
      <c r="Y28" s="622">
        <f>'4 Tržby'!Y26+'4 Tržby'!Y27</f>
        <v>0</v>
      </c>
      <c r="Z28" s="622">
        <f>'4 Tržby'!Z26+'4 Tržby'!Z27</f>
        <v>0</v>
      </c>
      <c r="AA28" s="622">
        <f>'4 Tržby'!AA26+'4 Tržby'!AA27</f>
        <v>0</v>
      </c>
      <c r="AB28" s="622">
        <f>'4 Tržby'!AB26+'4 Tržby'!AB27</f>
        <v>0</v>
      </c>
      <c r="AC28" s="623">
        <f>'4 Tržby'!AC26+'4 Tržby'!AC27</f>
        <v>0</v>
      </c>
      <c r="AD28" s="608"/>
    </row>
    <row r="29" spans="2:30" ht="12.75" thickBot="1">
      <c r="B29" s="624" t="s">
        <v>12</v>
      </c>
      <c r="C29" s="625" t="s">
        <v>296</v>
      </c>
      <c r="D29" s="359"/>
      <c r="E29" s="635">
        <f>IF((E26+E27-E28)&gt;0,E26+E27-E28,0)</f>
        <v>0</v>
      </c>
      <c r="F29" s="636">
        <f aca="true" t="shared" si="13" ref="F29:AC29">IF((F26+F27-F28)&gt;0,F26+F27-F28,0)</f>
        <v>0</v>
      </c>
      <c r="G29" s="636">
        <f t="shared" si="13"/>
        <v>0</v>
      </c>
      <c r="H29" s="636">
        <f t="shared" si="13"/>
        <v>0</v>
      </c>
      <c r="I29" s="636">
        <f t="shared" si="13"/>
        <v>0</v>
      </c>
      <c r="J29" s="636">
        <f t="shared" si="13"/>
        <v>0</v>
      </c>
      <c r="K29" s="636">
        <f t="shared" si="13"/>
        <v>0</v>
      </c>
      <c r="L29" s="636">
        <f t="shared" si="13"/>
        <v>0</v>
      </c>
      <c r="M29" s="636">
        <f t="shared" si="13"/>
        <v>0</v>
      </c>
      <c r="N29" s="636">
        <f t="shared" si="13"/>
        <v>0</v>
      </c>
      <c r="O29" s="636">
        <f t="shared" si="13"/>
        <v>0</v>
      </c>
      <c r="P29" s="636">
        <f t="shared" si="13"/>
        <v>0</v>
      </c>
      <c r="Q29" s="636">
        <f t="shared" si="13"/>
        <v>0</v>
      </c>
      <c r="R29" s="636">
        <f t="shared" si="13"/>
        <v>0</v>
      </c>
      <c r="S29" s="636">
        <f t="shared" si="13"/>
        <v>0</v>
      </c>
      <c r="T29" s="636">
        <f t="shared" si="13"/>
        <v>0</v>
      </c>
      <c r="U29" s="636">
        <f t="shared" si="13"/>
        <v>0</v>
      </c>
      <c r="V29" s="636">
        <f t="shared" si="13"/>
        <v>0</v>
      </c>
      <c r="W29" s="636">
        <f t="shared" si="13"/>
        <v>0</v>
      </c>
      <c r="X29" s="636">
        <f t="shared" si="13"/>
        <v>0</v>
      </c>
      <c r="Y29" s="636">
        <f t="shared" si="13"/>
        <v>0</v>
      </c>
      <c r="Z29" s="636">
        <f t="shared" si="13"/>
        <v>0</v>
      </c>
      <c r="AA29" s="636">
        <f t="shared" si="13"/>
        <v>0</v>
      </c>
      <c r="AB29" s="636">
        <f t="shared" si="13"/>
        <v>0</v>
      </c>
      <c r="AC29" s="637">
        <f t="shared" si="13"/>
        <v>0</v>
      </c>
      <c r="AD29" s="608"/>
    </row>
    <row r="30" spans="2:30" ht="12">
      <c r="B30" s="609"/>
      <c r="C30" s="610"/>
      <c r="D30" s="28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08"/>
    </row>
    <row r="31" spans="3:43" ht="12" thickBot="1">
      <c r="C31" s="469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</row>
    <row r="32" spans="2:43" s="285" customFormat="1" ht="12.75" customHeight="1">
      <c r="B32" s="638" t="s">
        <v>298</v>
      </c>
      <c r="C32" s="372" t="s">
        <v>110</v>
      </c>
      <c r="D32" s="373"/>
      <c r="E32" s="978">
        <f>E2</f>
        <v>2014</v>
      </c>
      <c r="F32" s="978">
        <f aca="true" t="shared" si="14" ref="F32:S32">E32+1</f>
        <v>2015</v>
      </c>
      <c r="G32" s="978">
        <f t="shared" si="14"/>
        <v>2016</v>
      </c>
      <c r="H32" s="978">
        <f t="shared" si="14"/>
        <v>2017</v>
      </c>
      <c r="I32" s="978">
        <f t="shared" si="14"/>
        <v>2018</v>
      </c>
      <c r="J32" s="978">
        <f t="shared" si="14"/>
        <v>2019</v>
      </c>
      <c r="K32" s="978">
        <f t="shared" si="14"/>
        <v>2020</v>
      </c>
      <c r="L32" s="978">
        <f t="shared" si="14"/>
        <v>2021</v>
      </c>
      <c r="M32" s="978">
        <f t="shared" si="14"/>
        <v>2022</v>
      </c>
      <c r="N32" s="978">
        <f t="shared" si="14"/>
        <v>2023</v>
      </c>
      <c r="O32" s="978">
        <f t="shared" si="14"/>
        <v>2024</v>
      </c>
      <c r="P32" s="978">
        <f>O32+1</f>
        <v>2025</v>
      </c>
      <c r="Q32" s="978">
        <f t="shared" si="14"/>
        <v>2026</v>
      </c>
      <c r="R32" s="978">
        <f t="shared" si="14"/>
        <v>2027</v>
      </c>
      <c r="S32" s="978">
        <f t="shared" si="14"/>
        <v>2028</v>
      </c>
      <c r="T32" s="978">
        <f aca="true" t="shared" si="15" ref="T32:AC32">S32+1</f>
        <v>2029</v>
      </c>
      <c r="U32" s="978">
        <f t="shared" si="15"/>
        <v>2030</v>
      </c>
      <c r="V32" s="978">
        <f t="shared" si="15"/>
        <v>2031</v>
      </c>
      <c r="W32" s="978">
        <f t="shared" si="15"/>
        <v>2032</v>
      </c>
      <c r="X32" s="978">
        <f t="shared" si="15"/>
        <v>2033</v>
      </c>
      <c r="Y32" s="978">
        <f t="shared" si="15"/>
        <v>2034</v>
      </c>
      <c r="Z32" s="978">
        <f t="shared" si="15"/>
        <v>2035</v>
      </c>
      <c r="AA32" s="978">
        <f t="shared" si="15"/>
        <v>2036</v>
      </c>
      <c r="AB32" s="978">
        <f t="shared" si="15"/>
        <v>2037</v>
      </c>
      <c r="AC32" s="994">
        <f t="shared" si="15"/>
        <v>2038</v>
      </c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</row>
    <row r="33" spans="2:43" s="285" customFormat="1" ht="12.75" customHeight="1" thickBot="1">
      <c r="B33" s="374" t="s">
        <v>25</v>
      </c>
      <c r="C33" s="639"/>
      <c r="D33" s="640" t="s">
        <v>83</v>
      </c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95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</row>
    <row r="34" spans="2:29" s="285" customFormat="1" ht="12">
      <c r="B34" s="641" t="s">
        <v>13</v>
      </c>
      <c r="C34" s="616" t="s">
        <v>109</v>
      </c>
      <c r="D34" s="338">
        <f>SUM(E34:AC34,E41:AC41)</f>
        <v>0</v>
      </c>
      <c r="E34" s="617">
        <f>IF(E32&lt;='0 Úvod'!$G$19+'0 Úvod'!$J$19-1,(E19+E20)-(E4+E5),0)</f>
        <v>0</v>
      </c>
      <c r="F34" s="618">
        <f>IF(F32&lt;='0 Úvod'!$G$19+'0 Úvod'!$J$19-1,(F19+F20)-(F4+F5),0)</f>
        <v>0</v>
      </c>
      <c r="G34" s="618">
        <f>IF(G32&lt;='0 Úvod'!$G$19+'0 Úvod'!$J$19-1,(G19+G20)-(G4+G5),0)</f>
        <v>0</v>
      </c>
      <c r="H34" s="618">
        <f>IF(H32&lt;='0 Úvod'!$G$19+'0 Úvod'!$J$19-1,(H19+H20)-(H4+H5),0)</f>
        <v>0</v>
      </c>
      <c r="I34" s="618">
        <f>IF(I32&lt;='0 Úvod'!$G$19+'0 Úvod'!$J$19-1,(I19+I20)-(I4+I5),0)</f>
        <v>0</v>
      </c>
      <c r="J34" s="618">
        <f>IF(J32&lt;='0 Úvod'!$G$19+'0 Úvod'!$J$19-1,(J19+J20)-(J4+J5),0)</f>
        <v>0</v>
      </c>
      <c r="K34" s="618">
        <f>IF(K32&lt;='0 Úvod'!$G$19+'0 Úvod'!$J$19-1,(K19+K20)-(K4+K5),0)</f>
        <v>0</v>
      </c>
      <c r="L34" s="618">
        <f>IF(L32&lt;='0 Úvod'!$G$19+'0 Úvod'!$J$19-1,(L19+L20)-(L4+L5),0)</f>
        <v>0</v>
      </c>
      <c r="M34" s="618">
        <f>IF(M32&lt;='0 Úvod'!$G$19+'0 Úvod'!$J$19-1,(M19+M20)-(M4+M5),0)</f>
        <v>0</v>
      </c>
      <c r="N34" s="618">
        <f>IF(N32&lt;='0 Úvod'!$G$19+'0 Úvod'!$J$19-1,(N19+N20)-(N4+N5),0)</f>
        <v>0</v>
      </c>
      <c r="O34" s="618">
        <f>IF(O32&lt;='0 Úvod'!$G$19+'0 Úvod'!$J$19-1,(O19+O20)-(O4+O5),0)</f>
        <v>0</v>
      </c>
      <c r="P34" s="618">
        <f>IF(P32&lt;='0 Úvod'!$G$19+'0 Úvod'!$J$19-1,(P19+P20)-(P4+P5),0)</f>
        <v>0</v>
      </c>
      <c r="Q34" s="618">
        <f>IF(Q32&lt;='0 Úvod'!$G$19+'0 Úvod'!$J$19-1,(Q19+Q20)-(Q4+Q5),0)</f>
        <v>0</v>
      </c>
      <c r="R34" s="618">
        <f>IF(R32&lt;='0 Úvod'!$G$19+'0 Úvod'!$J$19-1,(R19+R20)-(R4+R5),0)</f>
        <v>0</v>
      </c>
      <c r="S34" s="618">
        <f>IF(S32&lt;='0 Úvod'!$G$19+'0 Úvod'!$J$19-1,(S19+S20)-(S4+S5),0)</f>
        <v>0</v>
      </c>
      <c r="T34" s="618">
        <f>IF(T32&lt;='0 Úvod'!$G$19+'0 Úvod'!$J$19-1,(T19+T20)-(T4+T5),0)</f>
        <v>0</v>
      </c>
      <c r="U34" s="618">
        <f>IF(U32&lt;='0 Úvod'!$G$19+'0 Úvod'!$J$19-1,(U19+U20)-(U4+U5),0)</f>
        <v>0</v>
      </c>
      <c r="V34" s="618">
        <f>IF(V32&lt;='0 Úvod'!$G$19+'0 Úvod'!$J$19-1,(V19+V20)-(V4+V5),0)</f>
        <v>0</v>
      </c>
      <c r="W34" s="618">
        <f>IF(W32&lt;='0 Úvod'!$G$19+'0 Úvod'!$J$19-1,(W19+W20)-(W4+W5),0)</f>
        <v>0</v>
      </c>
      <c r="X34" s="618">
        <f>IF(X32&lt;='0 Úvod'!$G$19+'0 Úvod'!$J$19-1,(X19+X20)-(X4+X5),0)</f>
        <v>0</v>
      </c>
      <c r="Y34" s="618">
        <f>IF(Y32&lt;='0 Úvod'!$G$19+'0 Úvod'!$J$19-1,(Y19+Y20)-(Y4+Y5),0)</f>
        <v>0</v>
      </c>
      <c r="Z34" s="618">
        <f>IF(Z32&lt;='0 Úvod'!$G$19+'0 Úvod'!$J$19-1,(Z19+Z20)-(Z4+Z5),0)</f>
        <v>0</v>
      </c>
      <c r="AA34" s="618">
        <f>IF(AA32&lt;='0 Úvod'!$G$19+'0 Úvod'!$J$19-1,(AA19+AA20)-(AA4+AA5),0)</f>
        <v>0</v>
      </c>
      <c r="AB34" s="618">
        <f>IF(AB32&lt;='0 Úvod'!$G$19+'0 Úvod'!$J$19-1,(AB19+AB20)-(AB4+AB5),0)</f>
        <v>0</v>
      </c>
      <c r="AC34" s="619">
        <f>IF(AC32&lt;='0 Úvod'!$G$19+'0 Úvod'!$J$19-1,(AC19+AC20)-(AC4+AC5),0)</f>
        <v>0</v>
      </c>
    </row>
    <row r="35" spans="2:29" s="285" customFormat="1" ht="12">
      <c r="B35" s="641" t="s">
        <v>14</v>
      </c>
      <c r="C35" s="337" t="s">
        <v>111</v>
      </c>
      <c r="D35" s="341">
        <f>SUM(E35:AC35,E42:AC42)</f>
        <v>0</v>
      </c>
      <c r="E35" s="621">
        <f>IF(E32&lt;='0 Úvod'!$G$19+'0 Úvod'!$J$19-1,E22-E7,0)</f>
        <v>0</v>
      </c>
      <c r="F35" s="622">
        <f>IF(F32&lt;='0 Úvod'!$G$19+'0 Úvod'!$J$19-1,F22-F7,0)</f>
        <v>0</v>
      </c>
      <c r="G35" s="622">
        <f>IF(G32&lt;='0 Úvod'!$G$19+'0 Úvod'!$J$19-1,G22-G7,0)</f>
        <v>0</v>
      </c>
      <c r="H35" s="622">
        <f>IF(H32&lt;='0 Úvod'!$G$19+'0 Úvod'!$J$19-1,H22-H7,0)</f>
        <v>0</v>
      </c>
      <c r="I35" s="622">
        <f>IF(I32&lt;='0 Úvod'!$G$19+'0 Úvod'!$J$19-1,I22-I7,0)</f>
        <v>0</v>
      </c>
      <c r="J35" s="622">
        <f>IF(J32&lt;='0 Úvod'!$G$19+'0 Úvod'!$J$19-1,J22-J7,0)</f>
        <v>0</v>
      </c>
      <c r="K35" s="622">
        <f>IF(K32&lt;='0 Úvod'!$G$19+'0 Úvod'!$J$19-1,K22-K7,0)</f>
        <v>0</v>
      </c>
      <c r="L35" s="622">
        <f>IF(L32&lt;='0 Úvod'!$G$19+'0 Úvod'!$J$19-1,L22-L7,0)</f>
        <v>0</v>
      </c>
      <c r="M35" s="622">
        <f>IF(M32&lt;='0 Úvod'!$G$19+'0 Úvod'!$J$19-1,M22-M7,0)</f>
        <v>0</v>
      </c>
      <c r="N35" s="622">
        <f>IF(N32&lt;='0 Úvod'!$G$19+'0 Úvod'!$J$19-1,N22-N7,0)</f>
        <v>0</v>
      </c>
      <c r="O35" s="622">
        <f>IF(O32&lt;='0 Úvod'!$G$19+'0 Úvod'!$J$19-1,O22-O7,0)</f>
        <v>0</v>
      </c>
      <c r="P35" s="622">
        <f>IF(P32&lt;='0 Úvod'!$G$19+'0 Úvod'!$J$19-1,P22-P7,0)</f>
        <v>0</v>
      </c>
      <c r="Q35" s="622">
        <f>IF(Q32&lt;='0 Úvod'!$G$19+'0 Úvod'!$J$19-1,Q22-Q7,0)</f>
        <v>0</v>
      </c>
      <c r="R35" s="622">
        <f>IF(R32&lt;='0 Úvod'!$G$19+'0 Úvod'!$J$19-1,R22-R7,0)</f>
        <v>0</v>
      </c>
      <c r="S35" s="622">
        <f>IF(S32&lt;='0 Úvod'!$G$19+'0 Úvod'!$J$19-1,S22-S7,0)</f>
        <v>0</v>
      </c>
      <c r="T35" s="622">
        <f>IF(T32&lt;='0 Úvod'!$G$19+'0 Úvod'!$J$19-1,T22-T7,0)</f>
        <v>0</v>
      </c>
      <c r="U35" s="622">
        <f>IF(U32&lt;='0 Úvod'!$G$19+'0 Úvod'!$J$19-1,U22-U7,0)</f>
        <v>0</v>
      </c>
      <c r="V35" s="622">
        <f>IF(V32&lt;='0 Úvod'!$G$19+'0 Úvod'!$J$19-1,V22-V7,0)</f>
        <v>0</v>
      </c>
      <c r="W35" s="622">
        <f>IF(W32&lt;='0 Úvod'!$G$19+'0 Úvod'!$J$19-1,W22-W7,0)</f>
        <v>0</v>
      </c>
      <c r="X35" s="622">
        <f>IF(X32&lt;='0 Úvod'!$G$19+'0 Úvod'!$J$19-1,X22-X7,0)</f>
        <v>0</v>
      </c>
      <c r="Y35" s="622">
        <f>IF(Y32&lt;='0 Úvod'!$G$19+'0 Úvod'!$J$19-1,Y22-Y7,0)</f>
        <v>0</v>
      </c>
      <c r="Z35" s="622">
        <f>IF(Z32&lt;='0 Úvod'!$G$19+'0 Úvod'!$J$19-1,Z22-Z7,0)</f>
        <v>0</v>
      </c>
      <c r="AA35" s="622">
        <f>IF(AA32&lt;='0 Úvod'!$G$19+'0 Úvod'!$J$19-1,AA22-AA7,0)</f>
        <v>0</v>
      </c>
      <c r="AB35" s="622">
        <f>IF(AB32&lt;='0 Úvod'!$G$19+'0 Úvod'!$J$19-1,AB22-AB7,0)</f>
        <v>0</v>
      </c>
      <c r="AC35" s="623">
        <f>IF(AC32&lt;='0 Úvod'!$G$19+'0 Úvod'!$J$19-1,AC22-AC7,0)</f>
        <v>0</v>
      </c>
    </row>
    <row r="36" spans="2:29" s="285" customFormat="1" ht="12.75" thickBot="1">
      <c r="B36" s="642"/>
      <c r="C36" s="643" t="s">
        <v>112</v>
      </c>
      <c r="D36" s="644" t="str">
        <f>IF(D35&gt;=D34,"ANO","NE")</f>
        <v>ANO</v>
      </c>
      <c r="E36" s="645" t="str">
        <f>IF(E35&gt;=E34,"ANO","NE")</f>
        <v>ANO</v>
      </c>
      <c r="F36" s="646" t="str">
        <f>IF(F35&gt;=F34,"ANO","NE")</f>
        <v>ANO</v>
      </c>
      <c r="G36" s="646" t="str">
        <f aca="true" t="shared" si="16" ref="G36:S36">IF(G35&gt;=G34,"ANO","NE")</f>
        <v>ANO</v>
      </c>
      <c r="H36" s="646" t="str">
        <f t="shared" si="16"/>
        <v>ANO</v>
      </c>
      <c r="I36" s="646" t="str">
        <f t="shared" si="16"/>
        <v>ANO</v>
      </c>
      <c r="J36" s="646" t="str">
        <f t="shared" si="16"/>
        <v>ANO</v>
      </c>
      <c r="K36" s="646" t="str">
        <f t="shared" si="16"/>
        <v>ANO</v>
      </c>
      <c r="L36" s="646" t="str">
        <f t="shared" si="16"/>
        <v>ANO</v>
      </c>
      <c r="M36" s="646" t="str">
        <f t="shared" si="16"/>
        <v>ANO</v>
      </c>
      <c r="N36" s="646" t="str">
        <f t="shared" si="16"/>
        <v>ANO</v>
      </c>
      <c r="O36" s="646" t="str">
        <f t="shared" si="16"/>
        <v>ANO</v>
      </c>
      <c r="P36" s="646" t="str">
        <f t="shared" si="16"/>
        <v>ANO</v>
      </c>
      <c r="Q36" s="646" t="str">
        <f t="shared" si="16"/>
        <v>ANO</v>
      </c>
      <c r="R36" s="646" t="str">
        <f t="shared" si="16"/>
        <v>ANO</v>
      </c>
      <c r="S36" s="646" t="str">
        <f t="shared" si="16"/>
        <v>ANO</v>
      </c>
      <c r="T36" s="646" t="str">
        <f aca="true" t="shared" si="17" ref="T36:AC36">IF(T35&gt;=T34,"ANO","NE")</f>
        <v>ANO</v>
      </c>
      <c r="U36" s="646" t="str">
        <f t="shared" si="17"/>
        <v>ANO</v>
      </c>
      <c r="V36" s="646" t="str">
        <f t="shared" si="17"/>
        <v>ANO</v>
      </c>
      <c r="W36" s="646" t="str">
        <f t="shared" si="17"/>
        <v>ANO</v>
      </c>
      <c r="X36" s="646" t="str">
        <f t="shared" si="17"/>
        <v>ANO</v>
      </c>
      <c r="Y36" s="646" t="str">
        <f t="shared" si="17"/>
        <v>ANO</v>
      </c>
      <c r="Z36" s="646" t="str">
        <f t="shared" si="17"/>
        <v>ANO</v>
      </c>
      <c r="AA36" s="646" t="str">
        <f t="shared" si="17"/>
        <v>ANO</v>
      </c>
      <c r="AB36" s="646" t="str">
        <f t="shared" si="17"/>
        <v>ANO</v>
      </c>
      <c r="AC36" s="647" t="str">
        <f t="shared" si="17"/>
        <v>ANO</v>
      </c>
    </row>
    <row r="37" spans="2:30" s="285" customFormat="1" ht="12.75" thickBot="1">
      <c r="B37" s="648" t="s">
        <v>15</v>
      </c>
      <c r="C37" s="280" t="s">
        <v>297</v>
      </c>
      <c r="D37" s="649">
        <f>SUM(E44:AC44,E37:AC37)</f>
        <v>0</v>
      </c>
      <c r="E37" s="650">
        <f aca="true" t="shared" si="18" ref="E37:AC37">E35-E34</f>
        <v>0</v>
      </c>
      <c r="F37" s="651">
        <f t="shared" si="18"/>
        <v>0</v>
      </c>
      <c r="G37" s="651">
        <f t="shared" si="18"/>
        <v>0</v>
      </c>
      <c r="H37" s="651">
        <f t="shared" si="18"/>
        <v>0</v>
      </c>
      <c r="I37" s="651">
        <f t="shared" si="18"/>
        <v>0</v>
      </c>
      <c r="J37" s="651">
        <f t="shared" si="18"/>
        <v>0</v>
      </c>
      <c r="K37" s="651">
        <f t="shared" si="18"/>
        <v>0</v>
      </c>
      <c r="L37" s="651">
        <f t="shared" si="18"/>
        <v>0</v>
      </c>
      <c r="M37" s="651">
        <f t="shared" si="18"/>
        <v>0</v>
      </c>
      <c r="N37" s="651">
        <f t="shared" si="18"/>
        <v>0</v>
      </c>
      <c r="O37" s="651">
        <f t="shared" si="18"/>
        <v>0</v>
      </c>
      <c r="P37" s="651">
        <f t="shared" si="18"/>
        <v>0</v>
      </c>
      <c r="Q37" s="651">
        <f t="shared" si="18"/>
        <v>0</v>
      </c>
      <c r="R37" s="651">
        <f t="shared" si="18"/>
        <v>0</v>
      </c>
      <c r="S37" s="651">
        <f t="shared" si="18"/>
        <v>0</v>
      </c>
      <c r="T37" s="651">
        <f t="shared" si="18"/>
        <v>0</v>
      </c>
      <c r="U37" s="651">
        <f t="shared" si="18"/>
        <v>0</v>
      </c>
      <c r="V37" s="651">
        <f t="shared" si="18"/>
        <v>0</v>
      </c>
      <c r="W37" s="651">
        <f t="shared" si="18"/>
        <v>0</v>
      </c>
      <c r="X37" s="651">
        <f t="shared" si="18"/>
        <v>0</v>
      </c>
      <c r="Y37" s="651">
        <f t="shared" si="18"/>
        <v>0</v>
      </c>
      <c r="Z37" s="651">
        <f t="shared" si="18"/>
        <v>0</v>
      </c>
      <c r="AA37" s="651">
        <f t="shared" si="18"/>
        <v>0</v>
      </c>
      <c r="AB37" s="651">
        <f t="shared" si="18"/>
        <v>0</v>
      </c>
      <c r="AC37" s="652">
        <f t="shared" si="18"/>
        <v>0</v>
      </c>
      <c r="AD37" s="283"/>
    </row>
    <row r="38" spans="3:29" s="285" customFormat="1" ht="12" thickBot="1">
      <c r="C38" s="469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</row>
    <row r="39" spans="2:43" s="285" customFormat="1" ht="12.75" customHeight="1">
      <c r="B39" s="638" t="s">
        <v>298</v>
      </c>
      <c r="C39" s="372" t="s">
        <v>110</v>
      </c>
      <c r="D39" s="373"/>
      <c r="E39" s="984">
        <f>AC32+1</f>
        <v>2039</v>
      </c>
      <c r="F39" s="978">
        <f aca="true" t="shared" si="19" ref="F39:S39">E39+1</f>
        <v>2040</v>
      </c>
      <c r="G39" s="978">
        <f t="shared" si="19"/>
        <v>2041</v>
      </c>
      <c r="H39" s="978">
        <f t="shared" si="19"/>
        <v>2042</v>
      </c>
      <c r="I39" s="978">
        <f t="shared" si="19"/>
        <v>2043</v>
      </c>
      <c r="J39" s="978">
        <f t="shared" si="19"/>
        <v>2044</v>
      </c>
      <c r="K39" s="978">
        <f t="shared" si="19"/>
        <v>2045</v>
      </c>
      <c r="L39" s="978">
        <f t="shared" si="19"/>
        <v>2046</v>
      </c>
      <c r="M39" s="978">
        <f t="shared" si="19"/>
        <v>2047</v>
      </c>
      <c r="N39" s="978">
        <f t="shared" si="19"/>
        <v>2048</v>
      </c>
      <c r="O39" s="978">
        <f t="shared" si="19"/>
        <v>2049</v>
      </c>
      <c r="P39" s="978">
        <f>O39+1</f>
        <v>2050</v>
      </c>
      <c r="Q39" s="978">
        <f t="shared" si="19"/>
        <v>2051</v>
      </c>
      <c r="R39" s="978">
        <f t="shared" si="19"/>
        <v>2052</v>
      </c>
      <c r="S39" s="978">
        <f t="shared" si="19"/>
        <v>2053</v>
      </c>
      <c r="T39" s="978">
        <f aca="true" t="shared" si="20" ref="T39:AC39">S39+1</f>
        <v>2054</v>
      </c>
      <c r="U39" s="978">
        <f t="shared" si="20"/>
        <v>2055</v>
      </c>
      <c r="V39" s="978">
        <f t="shared" si="20"/>
        <v>2056</v>
      </c>
      <c r="W39" s="978">
        <f t="shared" si="20"/>
        <v>2057</v>
      </c>
      <c r="X39" s="978">
        <f t="shared" si="20"/>
        <v>2058</v>
      </c>
      <c r="Y39" s="978">
        <f t="shared" si="20"/>
        <v>2059</v>
      </c>
      <c r="Z39" s="978">
        <f t="shared" si="20"/>
        <v>2060</v>
      </c>
      <c r="AA39" s="978">
        <f t="shared" si="20"/>
        <v>2061</v>
      </c>
      <c r="AB39" s="978">
        <f t="shared" si="20"/>
        <v>2062</v>
      </c>
      <c r="AC39" s="994">
        <f t="shared" si="20"/>
        <v>2063</v>
      </c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</row>
    <row r="40" spans="2:43" s="285" customFormat="1" ht="12.75" customHeight="1" thickBot="1">
      <c r="B40" s="374" t="s">
        <v>26</v>
      </c>
      <c r="C40" s="639"/>
      <c r="D40" s="500"/>
      <c r="E40" s="985"/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95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</row>
    <row r="41" spans="2:29" s="285" customFormat="1" ht="12">
      <c r="B41" s="641" t="s">
        <v>13</v>
      </c>
      <c r="C41" s="616" t="s">
        <v>109</v>
      </c>
      <c r="D41" s="653"/>
      <c r="E41" s="617">
        <f>IF(E39&lt;='0 Úvod'!$G$19+'0 Úvod'!$J$19-1,(E26+E27)-(E11+E12),0)</f>
        <v>0</v>
      </c>
      <c r="F41" s="618">
        <f>IF(F39&lt;='0 Úvod'!$G$19+'0 Úvod'!$J$19-1,(F26+F27)-(F11+F12),0)</f>
        <v>0</v>
      </c>
      <c r="G41" s="618">
        <f>IF(G39&lt;='0 Úvod'!$G$19+'0 Úvod'!$J$19-1,(G26+G27)-(G11+G12),0)</f>
        <v>0</v>
      </c>
      <c r="H41" s="618">
        <f>IF(H39&lt;='0 Úvod'!$G$19+'0 Úvod'!$J$19-1,(H26+H27)-(H11+H12),0)</f>
        <v>0</v>
      </c>
      <c r="I41" s="618">
        <f>IF(I39&lt;='0 Úvod'!$G$19+'0 Úvod'!$J$19-1,(I26+I27)-(I11+I12),0)</f>
        <v>0</v>
      </c>
      <c r="J41" s="618">
        <f>IF(J39&lt;='0 Úvod'!$G$19+'0 Úvod'!$J$19-1,(J26+J27)-(J11+J12),0)</f>
        <v>0</v>
      </c>
      <c r="K41" s="618">
        <f>IF(K39&lt;='0 Úvod'!$G$19+'0 Úvod'!$J$19-1,(K26+K27)-(K11+K12),0)</f>
        <v>0</v>
      </c>
      <c r="L41" s="618">
        <f>IF(L39&lt;='0 Úvod'!$G$19+'0 Úvod'!$J$19-1,(L26+L27)-(L11+L12),0)</f>
        <v>0</v>
      </c>
      <c r="M41" s="618">
        <f>IF(M39&lt;='0 Úvod'!$G$19+'0 Úvod'!$J$19-1,(M26+M27)-(M11+M12),0)</f>
        <v>0</v>
      </c>
      <c r="N41" s="618">
        <f>IF(N39&lt;='0 Úvod'!$G$19+'0 Úvod'!$J$19-1,(N26+N27)-(N11+N12),0)</f>
        <v>0</v>
      </c>
      <c r="O41" s="618">
        <f>IF(O39&lt;='0 Úvod'!$G$19+'0 Úvod'!$J$19-1,(O26+O27)-(O11+O12),0)</f>
        <v>0</v>
      </c>
      <c r="P41" s="618">
        <f>IF(P39&lt;='0 Úvod'!$G$19+'0 Úvod'!$J$19-1,(P26+P27)-(P11+P12),0)</f>
        <v>0</v>
      </c>
      <c r="Q41" s="618">
        <f>IF(Q39&lt;='0 Úvod'!$G$19+'0 Úvod'!$J$19-1,(Q26+Q27)-(Q11+Q12),0)</f>
        <v>0</v>
      </c>
      <c r="R41" s="618">
        <f>IF(R39&lt;='0 Úvod'!$G$19+'0 Úvod'!$J$19-1,(R26+R27)-(R11+R12),0)</f>
        <v>0</v>
      </c>
      <c r="S41" s="618">
        <f>IF(S39&lt;='0 Úvod'!$G$19+'0 Úvod'!$J$19-1,(S26+S27)-(S11+S12),0)</f>
        <v>0</v>
      </c>
      <c r="T41" s="618">
        <f>IF(T39&lt;='0 Úvod'!$G$19+'0 Úvod'!$J$19-1,(T26+T27)-(T11+T12),0)</f>
        <v>0</v>
      </c>
      <c r="U41" s="618">
        <f>IF(U39&lt;='0 Úvod'!$G$19+'0 Úvod'!$J$19-1,(U26+U27)-(U11+U12),0)</f>
        <v>0</v>
      </c>
      <c r="V41" s="618">
        <f>IF(V39&lt;='0 Úvod'!$G$19+'0 Úvod'!$J$19-1,(V26+V27)-(V11+V12),0)</f>
        <v>0</v>
      </c>
      <c r="W41" s="618">
        <f>IF(W39&lt;='0 Úvod'!$G$19+'0 Úvod'!$J$19-1,(W26+W27)-(W11+W12),0)</f>
        <v>0</v>
      </c>
      <c r="X41" s="618">
        <f>IF(X39&lt;='0 Úvod'!$G$19+'0 Úvod'!$J$19-1,(X26+X27)-(X11+X12),0)</f>
        <v>0</v>
      </c>
      <c r="Y41" s="618">
        <f>IF(Y39&lt;='0 Úvod'!$G$19+'0 Úvod'!$J$19-1,(Y26+Y27)-(Y11+Y12),0)</f>
        <v>0</v>
      </c>
      <c r="Z41" s="618">
        <f>IF(Z39&lt;='0 Úvod'!$G$19+'0 Úvod'!$J$19-1,(Z26+Z27)-(Z11+Z12),0)</f>
        <v>0</v>
      </c>
      <c r="AA41" s="618">
        <f>IF(AA39&lt;='0 Úvod'!$G$19+'0 Úvod'!$J$19-1,(AA26+AA27)-(AA11+AA12),0)</f>
        <v>0</v>
      </c>
      <c r="AB41" s="618">
        <f>IF(AB39&lt;='0 Úvod'!$G$19+'0 Úvod'!$J$19-1,(AB26+AB27)-(AB11+AB12),0)</f>
        <v>0</v>
      </c>
      <c r="AC41" s="619">
        <f>IF(AC39&lt;='0 Úvod'!$G$19+'0 Úvod'!$J$19-1,(AC26+AC27)-(AC11+AC12),0)</f>
        <v>0</v>
      </c>
    </row>
    <row r="42" spans="2:29" s="285" customFormat="1" ht="12">
      <c r="B42" s="641" t="s">
        <v>14</v>
      </c>
      <c r="C42" s="337" t="s">
        <v>111</v>
      </c>
      <c r="D42" s="654"/>
      <c r="E42" s="621">
        <f>IF(E39&lt;='0 Úvod'!$G$19+'0 Úvod'!$J$19-1,E29-E14,0)</f>
        <v>0</v>
      </c>
      <c r="F42" s="622">
        <f>IF(F39&lt;='0 Úvod'!$G$19+'0 Úvod'!$J$19-1,F29-F14,0)</f>
        <v>0</v>
      </c>
      <c r="G42" s="622">
        <f>IF(G39&lt;='0 Úvod'!$G$19+'0 Úvod'!$J$19-1,G29-G14,0)</f>
        <v>0</v>
      </c>
      <c r="H42" s="622">
        <f>IF(H39&lt;='0 Úvod'!$G$19+'0 Úvod'!$J$19-1,H29-H14,0)</f>
        <v>0</v>
      </c>
      <c r="I42" s="622">
        <f>IF(I39&lt;='0 Úvod'!$G$19+'0 Úvod'!$J$19-1,I29-I14,0)</f>
        <v>0</v>
      </c>
      <c r="J42" s="622">
        <f>IF(J39&lt;='0 Úvod'!$G$19+'0 Úvod'!$J$19-1,J29-J14,0)</f>
        <v>0</v>
      </c>
      <c r="K42" s="622">
        <f>IF(K39&lt;='0 Úvod'!$G$19+'0 Úvod'!$J$19-1,K29-K14,0)</f>
        <v>0</v>
      </c>
      <c r="L42" s="622">
        <f>IF(L39&lt;='0 Úvod'!$G$19+'0 Úvod'!$J$19-1,L29-L14,0)</f>
        <v>0</v>
      </c>
      <c r="M42" s="622">
        <f>IF(M39&lt;='0 Úvod'!$G$19+'0 Úvod'!$J$19-1,M29-M14,0)</f>
        <v>0</v>
      </c>
      <c r="N42" s="622">
        <f>IF(N39&lt;='0 Úvod'!$G$19+'0 Úvod'!$J$19-1,N29-N14,0)</f>
        <v>0</v>
      </c>
      <c r="O42" s="622">
        <f>IF(O39&lt;='0 Úvod'!$G$19+'0 Úvod'!$J$19-1,O29-O14,0)</f>
        <v>0</v>
      </c>
      <c r="P42" s="622">
        <f>IF(P39&lt;='0 Úvod'!$G$19+'0 Úvod'!$J$19-1,P29-P14,0)</f>
        <v>0</v>
      </c>
      <c r="Q42" s="622">
        <f>IF(Q39&lt;='0 Úvod'!$G$19+'0 Úvod'!$J$19-1,Q29-Q14,0)</f>
        <v>0</v>
      </c>
      <c r="R42" s="622">
        <f>IF(R39&lt;='0 Úvod'!$G$19+'0 Úvod'!$J$19-1,R29-R14,0)</f>
        <v>0</v>
      </c>
      <c r="S42" s="622">
        <f>IF(S39&lt;='0 Úvod'!$G$19+'0 Úvod'!$J$19-1,S29-S14,0)</f>
        <v>0</v>
      </c>
      <c r="T42" s="622">
        <f>IF(T39&lt;='0 Úvod'!$G$19+'0 Úvod'!$J$19-1,T29-T14,0)</f>
        <v>0</v>
      </c>
      <c r="U42" s="622">
        <f>IF(U39&lt;='0 Úvod'!$G$19+'0 Úvod'!$J$19-1,U29-U14,0)</f>
        <v>0</v>
      </c>
      <c r="V42" s="622">
        <f>IF(V39&lt;='0 Úvod'!$G$19+'0 Úvod'!$J$19-1,V29-V14,0)</f>
        <v>0</v>
      </c>
      <c r="W42" s="622">
        <f>IF(W39&lt;='0 Úvod'!$G$19+'0 Úvod'!$J$19-1,W29-W14,0)</f>
        <v>0</v>
      </c>
      <c r="X42" s="622">
        <f>IF(X39&lt;='0 Úvod'!$G$19+'0 Úvod'!$J$19-1,X29-X14,0)</f>
        <v>0</v>
      </c>
      <c r="Y42" s="622">
        <f>IF(Y39&lt;='0 Úvod'!$G$19+'0 Úvod'!$J$19-1,Y29-Y14,0)</f>
        <v>0</v>
      </c>
      <c r="Z42" s="622">
        <f>IF(Z39&lt;='0 Úvod'!$G$19+'0 Úvod'!$J$19-1,Z29-Z14,0)</f>
        <v>0</v>
      </c>
      <c r="AA42" s="622">
        <f>IF(AA39&lt;='0 Úvod'!$G$19+'0 Úvod'!$J$19-1,AA29-AA14,0)</f>
        <v>0</v>
      </c>
      <c r="AB42" s="622">
        <f>IF(AB39&lt;='0 Úvod'!$G$19+'0 Úvod'!$J$19-1,AB29-AB14,0)</f>
        <v>0</v>
      </c>
      <c r="AC42" s="623">
        <f>IF(AC39&lt;='0 Úvod'!$G$19+'0 Úvod'!$J$19-1,AC29-AC14,0)</f>
        <v>0</v>
      </c>
    </row>
    <row r="43" spans="2:29" s="285" customFormat="1" ht="12.75" thickBot="1">
      <c r="B43" s="642"/>
      <c r="C43" s="643" t="s">
        <v>112</v>
      </c>
      <c r="D43" s="654"/>
      <c r="E43" s="645" t="str">
        <f>IF(E42&gt;=E41,"ANO","NE")</f>
        <v>ANO</v>
      </c>
      <c r="F43" s="646" t="str">
        <f aca="true" t="shared" si="21" ref="F43:S43">IF(F42&gt;=F41,"ANO","NE")</f>
        <v>ANO</v>
      </c>
      <c r="G43" s="646" t="str">
        <f t="shared" si="21"/>
        <v>ANO</v>
      </c>
      <c r="H43" s="646" t="str">
        <f t="shared" si="21"/>
        <v>ANO</v>
      </c>
      <c r="I43" s="646" t="str">
        <f t="shared" si="21"/>
        <v>ANO</v>
      </c>
      <c r="J43" s="646" t="str">
        <f t="shared" si="21"/>
        <v>ANO</v>
      </c>
      <c r="K43" s="646" t="str">
        <f t="shared" si="21"/>
        <v>ANO</v>
      </c>
      <c r="L43" s="646" t="str">
        <f t="shared" si="21"/>
        <v>ANO</v>
      </c>
      <c r="M43" s="646" t="str">
        <f t="shared" si="21"/>
        <v>ANO</v>
      </c>
      <c r="N43" s="646" t="str">
        <f t="shared" si="21"/>
        <v>ANO</v>
      </c>
      <c r="O43" s="646" t="str">
        <f t="shared" si="21"/>
        <v>ANO</v>
      </c>
      <c r="P43" s="646" t="str">
        <f t="shared" si="21"/>
        <v>ANO</v>
      </c>
      <c r="Q43" s="646" t="str">
        <f t="shared" si="21"/>
        <v>ANO</v>
      </c>
      <c r="R43" s="646" t="str">
        <f t="shared" si="21"/>
        <v>ANO</v>
      </c>
      <c r="S43" s="646" t="str">
        <f t="shared" si="21"/>
        <v>ANO</v>
      </c>
      <c r="T43" s="646" t="str">
        <f aca="true" t="shared" si="22" ref="T43:AC43">IF(T42&gt;=T41,"ANO","NE")</f>
        <v>ANO</v>
      </c>
      <c r="U43" s="646" t="str">
        <f t="shared" si="22"/>
        <v>ANO</v>
      </c>
      <c r="V43" s="646" t="str">
        <f t="shared" si="22"/>
        <v>ANO</v>
      </c>
      <c r="W43" s="646" t="str">
        <f t="shared" si="22"/>
        <v>ANO</v>
      </c>
      <c r="X43" s="646" t="str">
        <f t="shared" si="22"/>
        <v>ANO</v>
      </c>
      <c r="Y43" s="646" t="str">
        <f t="shared" si="22"/>
        <v>ANO</v>
      </c>
      <c r="Z43" s="646" t="str">
        <f t="shared" si="22"/>
        <v>ANO</v>
      </c>
      <c r="AA43" s="646" t="str">
        <f t="shared" si="22"/>
        <v>ANO</v>
      </c>
      <c r="AB43" s="646" t="str">
        <f t="shared" si="22"/>
        <v>ANO</v>
      </c>
      <c r="AC43" s="647" t="str">
        <f t="shared" si="22"/>
        <v>ANO</v>
      </c>
    </row>
    <row r="44" spans="2:30" s="285" customFormat="1" ht="12.75" thickBot="1">
      <c r="B44" s="648" t="s">
        <v>15</v>
      </c>
      <c r="C44" s="280" t="s">
        <v>297</v>
      </c>
      <c r="D44" s="490"/>
      <c r="E44" s="650">
        <f aca="true" t="shared" si="23" ref="E44:S44">E42-E41</f>
        <v>0</v>
      </c>
      <c r="F44" s="651">
        <f t="shared" si="23"/>
        <v>0</v>
      </c>
      <c r="G44" s="651">
        <f t="shared" si="23"/>
        <v>0</v>
      </c>
      <c r="H44" s="651">
        <f t="shared" si="23"/>
        <v>0</v>
      </c>
      <c r="I44" s="651">
        <f t="shared" si="23"/>
        <v>0</v>
      </c>
      <c r="J44" s="651">
        <f t="shared" si="23"/>
        <v>0</v>
      </c>
      <c r="K44" s="651">
        <f t="shared" si="23"/>
        <v>0</v>
      </c>
      <c r="L44" s="651">
        <f t="shared" si="23"/>
        <v>0</v>
      </c>
      <c r="M44" s="651">
        <f t="shared" si="23"/>
        <v>0</v>
      </c>
      <c r="N44" s="651">
        <f t="shared" si="23"/>
        <v>0</v>
      </c>
      <c r="O44" s="651">
        <f t="shared" si="23"/>
        <v>0</v>
      </c>
      <c r="P44" s="651">
        <f t="shared" si="23"/>
        <v>0</v>
      </c>
      <c r="Q44" s="651">
        <f t="shared" si="23"/>
        <v>0</v>
      </c>
      <c r="R44" s="651">
        <f t="shared" si="23"/>
        <v>0</v>
      </c>
      <c r="S44" s="651">
        <f t="shared" si="23"/>
        <v>0</v>
      </c>
      <c r="T44" s="651">
        <f aca="true" t="shared" si="24" ref="T44:AC44">T42-T41</f>
        <v>0</v>
      </c>
      <c r="U44" s="651">
        <f t="shared" si="24"/>
        <v>0</v>
      </c>
      <c r="V44" s="651">
        <f t="shared" si="24"/>
        <v>0</v>
      </c>
      <c r="W44" s="651">
        <f t="shared" si="24"/>
        <v>0</v>
      </c>
      <c r="X44" s="651">
        <f t="shared" si="24"/>
        <v>0</v>
      </c>
      <c r="Y44" s="651">
        <f t="shared" si="24"/>
        <v>0</v>
      </c>
      <c r="Z44" s="651">
        <f t="shared" si="24"/>
        <v>0</v>
      </c>
      <c r="AA44" s="651">
        <f t="shared" si="24"/>
        <v>0</v>
      </c>
      <c r="AB44" s="651">
        <f t="shared" si="24"/>
        <v>0</v>
      </c>
      <c r="AC44" s="652">
        <f t="shared" si="24"/>
        <v>0</v>
      </c>
      <c r="AD44" s="283"/>
    </row>
    <row r="46" ht="12" thickBot="1"/>
    <row r="47" spans="2:4" ht="11.25">
      <c r="B47" s="956" t="s">
        <v>77</v>
      </c>
      <c r="C47" s="957"/>
      <c r="D47" s="958"/>
    </row>
    <row r="48" spans="2:4" ht="12" thickBot="1">
      <c r="B48" s="1021"/>
      <c r="C48" s="1022"/>
      <c r="D48" s="1023"/>
    </row>
    <row r="49" spans="2:12" ht="12">
      <c r="B49" s="655" t="s">
        <v>113</v>
      </c>
      <c r="C49" s="172"/>
      <c r="D49" s="656"/>
      <c r="L49" s="611"/>
    </row>
    <row r="50" spans="2:16" ht="13.5" thickBot="1">
      <c r="B50" s="657" t="s">
        <v>114</v>
      </c>
      <c r="C50" s="658"/>
      <c r="D50" s="659"/>
      <c r="E50" s="612"/>
      <c r="F50" s="612"/>
      <c r="G50" s="612"/>
      <c r="H50" s="612"/>
      <c r="I50" s="612"/>
      <c r="J50" s="612"/>
      <c r="K50" s="612"/>
      <c r="L50" s="612"/>
      <c r="M50" s="612"/>
      <c r="N50" s="612"/>
      <c r="O50" s="612"/>
      <c r="P50" s="285"/>
    </row>
    <row r="51" spans="5:16" ht="12.75"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2"/>
      <c r="P51" s="285"/>
    </row>
    <row r="52" spans="5:16" ht="11.25">
      <c r="E52" s="199"/>
      <c r="F52" s="613"/>
      <c r="G52" s="199"/>
      <c r="H52" s="199"/>
      <c r="I52" s="199"/>
      <c r="J52" s="199"/>
      <c r="K52" s="199"/>
      <c r="L52" s="199"/>
      <c r="M52" s="199"/>
      <c r="N52" s="199"/>
      <c r="O52" s="199"/>
      <c r="P52" s="285"/>
    </row>
    <row r="53" spans="5:16" ht="11.25"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51">
    <mergeCell ref="G39:G40"/>
    <mergeCell ref="B47:D48"/>
    <mergeCell ref="P39:P40"/>
    <mergeCell ref="K39:K40"/>
    <mergeCell ref="J39:J40"/>
    <mergeCell ref="H39:H40"/>
    <mergeCell ref="I39:I40"/>
    <mergeCell ref="L39:L40"/>
    <mergeCell ref="M39:M40"/>
    <mergeCell ref="E39:E40"/>
    <mergeCell ref="F39:F40"/>
    <mergeCell ref="E32:E33"/>
    <mergeCell ref="F32:F33"/>
    <mergeCell ref="G32:G33"/>
    <mergeCell ref="Q24:Q25"/>
    <mergeCell ref="E24:E25"/>
    <mergeCell ref="F24:F25"/>
    <mergeCell ref="G24:G25"/>
    <mergeCell ref="H24:H25"/>
    <mergeCell ref="I24:I25"/>
    <mergeCell ref="O24:O25"/>
    <mergeCell ref="K24:K25"/>
    <mergeCell ref="L24:L25"/>
    <mergeCell ref="J24:J25"/>
    <mergeCell ref="M24:M25"/>
    <mergeCell ref="L32:L33"/>
    <mergeCell ref="M32:M33"/>
    <mergeCell ref="N32:N33"/>
    <mergeCell ref="H32:H33"/>
    <mergeCell ref="I32:I33"/>
    <mergeCell ref="J32:J33"/>
    <mergeCell ref="K32:K33"/>
    <mergeCell ref="S24:S25"/>
    <mergeCell ref="N24:N25"/>
    <mergeCell ref="R24:R25"/>
    <mergeCell ref="P24:P25"/>
    <mergeCell ref="S39:S40"/>
    <mergeCell ref="R32:R33"/>
    <mergeCell ref="N39:N40"/>
    <mergeCell ref="O39:O40"/>
    <mergeCell ref="S32:S33"/>
    <mergeCell ref="O32:O33"/>
    <mergeCell ref="Q39:Q40"/>
    <mergeCell ref="R39:R40"/>
    <mergeCell ref="P32:P33"/>
    <mergeCell ref="Q32:Q33"/>
    <mergeCell ref="L9:L10"/>
    <mergeCell ref="M9:M10"/>
    <mergeCell ref="L17:L18"/>
    <mergeCell ref="M17:M18"/>
    <mergeCell ref="N17:N18"/>
    <mergeCell ref="O17:O18"/>
    <mergeCell ref="K17:K18"/>
    <mergeCell ref="H9:H10"/>
    <mergeCell ref="I9:I10"/>
    <mergeCell ref="H17:H18"/>
    <mergeCell ref="I17:I18"/>
    <mergeCell ref="J17:J18"/>
    <mergeCell ref="J9:J10"/>
    <mergeCell ref="K9:K10"/>
    <mergeCell ref="N9:N10"/>
    <mergeCell ref="O9:O10"/>
    <mergeCell ref="P9:P10"/>
    <mergeCell ref="Q9:Q10"/>
    <mergeCell ref="P2:P3"/>
    <mergeCell ref="Q2:Q3"/>
    <mergeCell ref="Q17:Q18"/>
    <mergeCell ref="S9:S10"/>
    <mergeCell ref="R9:R10"/>
    <mergeCell ref="R17:R18"/>
    <mergeCell ref="S17:S18"/>
    <mergeCell ref="P17:P18"/>
    <mergeCell ref="R2:R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G2:G3"/>
    <mergeCell ref="E9:E10"/>
    <mergeCell ref="G9:G10"/>
    <mergeCell ref="E2:E3"/>
    <mergeCell ref="F2:F3"/>
    <mergeCell ref="E17:E18"/>
    <mergeCell ref="F17:F18"/>
    <mergeCell ref="F9:F10"/>
    <mergeCell ref="G17:G18"/>
    <mergeCell ref="U2:U3"/>
    <mergeCell ref="V2:V3"/>
    <mergeCell ref="W2:W3"/>
    <mergeCell ref="AA9:AA10"/>
    <mergeCell ref="X2:X3"/>
    <mergeCell ref="Y2:Y3"/>
    <mergeCell ref="Z2:Z3"/>
    <mergeCell ref="AA2:AA3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T2:T3"/>
    <mergeCell ref="X17:X18"/>
    <mergeCell ref="Y17:Y18"/>
    <mergeCell ref="AB17:AB18"/>
    <mergeCell ref="AC24:AC25"/>
    <mergeCell ref="T17:T18"/>
    <mergeCell ref="U17:U18"/>
    <mergeCell ref="V17:V18"/>
    <mergeCell ref="W17:W18"/>
    <mergeCell ref="T24:T25"/>
    <mergeCell ref="U24:U25"/>
    <mergeCell ref="V24:V25"/>
    <mergeCell ref="W24:W25"/>
    <mergeCell ref="Z17:Z18"/>
    <mergeCell ref="AA17:AA18"/>
    <mergeCell ref="AB9:AB10"/>
    <mergeCell ref="AC9:AC10"/>
    <mergeCell ref="AC17:AC18"/>
    <mergeCell ref="T32:T33"/>
    <mergeCell ref="U32:U33"/>
    <mergeCell ref="V32:V33"/>
    <mergeCell ref="W32:W33"/>
    <mergeCell ref="AB24:AB25"/>
    <mergeCell ref="AB39:AB40"/>
    <mergeCell ref="X39:X40"/>
    <mergeCell ref="Y39:Y40"/>
    <mergeCell ref="AA24:AA25"/>
    <mergeCell ref="X32:X33"/>
    <mergeCell ref="Y32:Y33"/>
    <mergeCell ref="Y24:Y25"/>
    <mergeCell ref="Z24:Z25"/>
    <mergeCell ref="X24:X25"/>
    <mergeCell ref="T39:T40"/>
    <mergeCell ref="U39:U40"/>
    <mergeCell ref="V39:V40"/>
    <mergeCell ref="W39:W40"/>
    <mergeCell ref="AC39:AC40"/>
    <mergeCell ref="Z32:Z33"/>
    <mergeCell ref="AA32:AA33"/>
    <mergeCell ref="AB32:AB33"/>
    <mergeCell ref="AC32:AC33"/>
    <mergeCell ref="Z39:Z40"/>
    <mergeCell ref="AA39:AA40"/>
  </mergeCells>
  <printOptions/>
  <pageMargins left="0.3937007874015748" right="0.15748031496062992" top="0.984251968503937" bottom="0.7874015748031497" header="0.3937007874015748" footer="0.3937007874015748"/>
  <pageSetup fitToHeight="1" fitToWidth="1" horizontalDpi="600" verticalDpi="600" orientation="landscape" paperSize="9" scale="37" r:id="rId2"/>
  <headerFooter alignWithMargins="0">
    <oddFooter>&amp;L&amp;A&amp;C15.9.2010</oddFooter>
  </headerFooter>
  <ignoredErrors>
    <ignoredError sqref="E5:AC5 E20:AC21 E23:AC28 E22:AC22 E29:AC29 E8:AC13 E7:AC7 E6:AC6" unlockedFormula="1"/>
    <ignoredError sqref="D36" 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6">
    <tabColor rgb="FFFFFF99"/>
    <pageSetUpPr fitToPage="1"/>
  </sheetPr>
  <dimension ref="B1:AC3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660" customWidth="1"/>
    <col min="2" max="2" width="5.7109375" style="660" customWidth="1"/>
    <col min="3" max="3" width="36.28125" style="660" customWidth="1"/>
    <col min="4" max="4" width="19.28125" style="660" customWidth="1"/>
    <col min="5" max="29" width="10.7109375" style="660" customWidth="1"/>
    <col min="30" max="33" width="7.140625" style="660" customWidth="1"/>
    <col min="34" max="16384" width="9.140625" style="660" customWidth="1"/>
  </cols>
  <sheetData>
    <row r="1" spans="2:7" ht="12" thickBot="1">
      <c r="B1" s="660" t="s">
        <v>2</v>
      </c>
      <c r="F1" s="661"/>
      <c r="G1" s="662"/>
    </row>
    <row r="2" spans="2:29" s="539" customFormat="1" ht="12.75">
      <c r="B2" s="614" t="s">
        <v>27</v>
      </c>
      <c r="C2" s="109" t="s">
        <v>123</v>
      </c>
      <c r="D2" s="110"/>
      <c r="E2" s="980">
        <f>'0 Úvod'!G19</f>
        <v>2014</v>
      </c>
      <c r="F2" s="980">
        <f aca="true" t="shared" si="0" ref="F2:S2">E2+1</f>
        <v>2015</v>
      </c>
      <c r="G2" s="980">
        <f t="shared" si="0"/>
        <v>2016</v>
      </c>
      <c r="H2" s="980">
        <f t="shared" si="0"/>
        <v>2017</v>
      </c>
      <c r="I2" s="980">
        <f t="shared" si="0"/>
        <v>2018</v>
      </c>
      <c r="J2" s="980">
        <f t="shared" si="0"/>
        <v>2019</v>
      </c>
      <c r="K2" s="980">
        <f t="shared" si="0"/>
        <v>2020</v>
      </c>
      <c r="L2" s="980">
        <f t="shared" si="0"/>
        <v>2021</v>
      </c>
      <c r="M2" s="980">
        <f t="shared" si="0"/>
        <v>2022</v>
      </c>
      <c r="N2" s="980">
        <f t="shared" si="0"/>
        <v>2023</v>
      </c>
      <c r="O2" s="980">
        <f t="shared" si="0"/>
        <v>2024</v>
      </c>
      <c r="P2" s="980">
        <f t="shared" si="0"/>
        <v>2025</v>
      </c>
      <c r="Q2" s="980">
        <f t="shared" si="0"/>
        <v>2026</v>
      </c>
      <c r="R2" s="980">
        <f t="shared" si="0"/>
        <v>2027</v>
      </c>
      <c r="S2" s="980">
        <f t="shared" si="0"/>
        <v>2028</v>
      </c>
      <c r="T2" s="980">
        <f aca="true" t="shared" si="1" ref="T2:AC2">S2+1</f>
        <v>2029</v>
      </c>
      <c r="U2" s="980">
        <f t="shared" si="1"/>
        <v>2030</v>
      </c>
      <c r="V2" s="980">
        <f t="shared" si="1"/>
        <v>2031</v>
      </c>
      <c r="W2" s="980">
        <f t="shared" si="1"/>
        <v>2032</v>
      </c>
      <c r="X2" s="980">
        <f t="shared" si="1"/>
        <v>2033</v>
      </c>
      <c r="Y2" s="980">
        <f t="shared" si="1"/>
        <v>2034</v>
      </c>
      <c r="Z2" s="980">
        <f t="shared" si="1"/>
        <v>2035</v>
      </c>
      <c r="AA2" s="980">
        <f t="shared" si="1"/>
        <v>2036</v>
      </c>
      <c r="AB2" s="980">
        <f t="shared" si="1"/>
        <v>2037</v>
      </c>
      <c r="AC2" s="992">
        <f t="shared" si="1"/>
        <v>2038</v>
      </c>
    </row>
    <row r="3" spans="2:29" s="539" customFormat="1" ht="13.5" thickBot="1">
      <c r="B3" s="333" t="s">
        <v>25</v>
      </c>
      <c r="C3" s="668" t="s">
        <v>124</v>
      </c>
      <c r="D3" s="335" t="s">
        <v>202</v>
      </c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968"/>
    </row>
    <row r="4" spans="2:29" ht="12">
      <c r="B4" s="669" t="s">
        <v>6</v>
      </c>
      <c r="C4" s="670" t="s">
        <v>234</v>
      </c>
      <c r="D4" s="671">
        <f>E4+NPV(D9,F4:AC4,E14:AC14)</f>
        <v>0</v>
      </c>
      <c r="E4" s="672">
        <f>'5 Finanční analýza (FRR_C)'!E7</f>
        <v>0</v>
      </c>
      <c r="F4" s="673">
        <f>'5 Finanční analýza (FRR_C)'!F7</f>
        <v>0</v>
      </c>
      <c r="G4" s="673">
        <f>'5 Finanční analýza (FRR_C)'!G7</f>
        <v>0</v>
      </c>
      <c r="H4" s="673">
        <f>'5 Finanční analýza (FRR_C)'!H7</f>
        <v>0</v>
      </c>
      <c r="I4" s="673">
        <f>'5 Finanční analýza (FRR_C)'!I7</f>
        <v>0</v>
      </c>
      <c r="J4" s="673">
        <f>'5 Finanční analýza (FRR_C)'!J7</f>
        <v>0</v>
      </c>
      <c r="K4" s="673">
        <f>'5 Finanční analýza (FRR_C)'!K7</f>
        <v>0</v>
      </c>
      <c r="L4" s="673">
        <f>'5 Finanční analýza (FRR_C)'!L7</f>
        <v>0</v>
      </c>
      <c r="M4" s="673">
        <f>'5 Finanční analýza (FRR_C)'!M7</f>
        <v>0</v>
      </c>
      <c r="N4" s="673">
        <f>'5 Finanční analýza (FRR_C)'!N7</f>
        <v>0</v>
      </c>
      <c r="O4" s="673">
        <f>'5 Finanční analýza (FRR_C)'!O7</f>
        <v>0</v>
      </c>
      <c r="P4" s="673">
        <f>'5 Finanční analýza (FRR_C)'!P7</f>
        <v>0</v>
      </c>
      <c r="Q4" s="673">
        <f>'5 Finanční analýza (FRR_C)'!Q7</f>
        <v>0</v>
      </c>
      <c r="R4" s="673">
        <f>'5 Finanční analýza (FRR_C)'!R7</f>
        <v>0</v>
      </c>
      <c r="S4" s="673">
        <f>'5 Finanční analýza (FRR_C)'!S7</f>
        <v>0</v>
      </c>
      <c r="T4" s="673">
        <f>'5 Finanční analýza (FRR_C)'!T7</f>
        <v>0</v>
      </c>
      <c r="U4" s="673">
        <f>'5 Finanční analýza (FRR_C)'!U7</f>
        <v>0</v>
      </c>
      <c r="V4" s="673">
        <f>'5 Finanční analýza (FRR_C)'!V7</f>
        <v>0</v>
      </c>
      <c r="W4" s="673">
        <f>'5 Finanční analýza (FRR_C)'!W7</f>
        <v>0</v>
      </c>
      <c r="X4" s="673">
        <f>'5 Finanční analýza (FRR_C)'!X7</f>
        <v>0</v>
      </c>
      <c r="Y4" s="673">
        <f>'5 Finanční analýza (FRR_C)'!Y7</f>
        <v>0</v>
      </c>
      <c r="Z4" s="673">
        <f>'5 Finanční analýza (FRR_C)'!Z7</f>
        <v>0</v>
      </c>
      <c r="AA4" s="673">
        <f>'5 Finanční analýza (FRR_C)'!AA7</f>
        <v>0</v>
      </c>
      <c r="AB4" s="673">
        <f>'5 Finanční analýza (FRR_C)'!AB7</f>
        <v>0</v>
      </c>
      <c r="AC4" s="674">
        <f>'5 Finanční analýza (FRR_C)'!AC7</f>
        <v>0</v>
      </c>
    </row>
    <row r="5" spans="2:29" ht="12">
      <c r="B5" s="669" t="s">
        <v>7</v>
      </c>
      <c r="C5" s="599" t="s">
        <v>187</v>
      </c>
      <c r="D5" s="675">
        <f>E5+NPV(D9,F5:AC5,E15:AC15)</f>
        <v>0</v>
      </c>
      <c r="E5" s="676">
        <f>IF(E2&lt;='0 Úvod'!$G$19+'0 Úvod'!$J$19-1,'4 Tržby'!E34+'4 Tržby'!E35,0)</f>
        <v>0</v>
      </c>
      <c r="F5" s="677">
        <f>IF(F2&lt;='0 Úvod'!$G$19+'0 Úvod'!$J$19-1,'4 Tržby'!F34+'4 Tržby'!F35,0)</f>
        <v>0</v>
      </c>
      <c r="G5" s="677">
        <f>IF(G2&lt;='0 Úvod'!$G$19+'0 Úvod'!$J$19-1,'4 Tržby'!G34+'4 Tržby'!G35,0)</f>
        <v>0</v>
      </c>
      <c r="H5" s="677">
        <f>IF(H2&lt;='0 Úvod'!$G$19+'0 Úvod'!$J$19-1,'4 Tržby'!H34+'4 Tržby'!H35,0)</f>
        <v>0</v>
      </c>
      <c r="I5" s="677">
        <f>IF(I2&lt;='0 Úvod'!$G$19+'0 Úvod'!$J$19-1,'4 Tržby'!I34+'4 Tržby'!I35,0)</f>
        <v>0</v>
      </c>
      <c r="J5" s="677">
        <f>IF(J2&lt;='0 Úvod'!$G$19+'0 Úvod'!$J$19-1,'4 Tržby'!J34+'4 Tržby'!J35,0)</f>
        <v>0</v>
      </c>
      <c r="K5" s="677">
        <f>IF(K2&lt;='0 Úvod'!$G$19+'0 Úvod'!$J$19-1,'4 Tržby'!K34+'4 Tržby'!K35,0)</f>
        <v>0</v>
      </c>
      <c r="L5" s="677">
        <f>IF(L2&lt;='0 Úvod'!$G$19+'0 Úvod'!$J$19-1,'4 Tržby'!L34+'4 Tržby'!L35,0)</f>
        <v>0</v>
      </c>
      <c r="M5" s="677">
        <f>IF(M2&lt;='0 Úvod'!$G$19+'0 Úvod'!$J$19-1,'4 Tržby'!M34+'4 Tržby'!M35,0)</f>
        <v>0</v>
      </c>
      <c r="N5" s="677">
        <f>IF(N2&lt;='0 Úvod'!$G$19+'0 Úvod'!$J$19-1,'4 Tržby'!N34+'4 Tržby'!N35,0)</f>
        <v>0</v>
      </c>
      <c r="O5" s="677">
        <f>IF(O2&lt;='0 Úvod'!$G$19+'0 Úvod'!$J$19-1,'4 Tržby'!O34+'4 Tržby'!O35,0)</f>
        <v>0</v>
      </c>
      <c r="P5" s="677">
        <f>IF(P2&lt;='0 Úvod'!$G$19+'0 Úvod'!$J$19-1,'4 Tržby'!P34+'4 Tržby'!P35,0)</f>
        <v>0</v>
      </c>
      <c r="Q5" s="677">
        <f>IF(Q2&lt;='0 Úvod'!$G$19+'0 Úvod'!$J$19-1,'4 Tržby'!Q34+'4 Tržby'!Q35,0)</f>
        <v>0</v>
      </c>
      <c r="R5" s="677">
        <f>IF(R2&lt;='0 Úvod'!$G$19+'0 Úvod'!$J$19-1,'4 Tržby'!R34+'4 Tržby'!R35,0)</f>
        <v>0</v>
      </c>
      <c r="S5" s="677">
        <f>IF(S2&lt;='0 Úvod'!$G$19+'0 Úvod'!$J$19-1,'4 Tržby'!S34+'4 Tržby'!S35,0)</f>
        <v>0</v>
      </c>
      <c r="T5" s="677">
        <f>IF(T2&lt;='0 Úvod'!$G$19+'0 Úvod'!$J$19-1,'4 Tržby'!T34+'4 Tržby'!T35,0)</f>
        <v>0</v>
      </c>
      <c r="U5" s="677">
        <f>IF(U2&lt;='0 Úvod'!$G$19+'0 Úvod'!$J$19-1,'4 Tržby'!U34+'4 Tržby'!U35,0)</f>
        <v>0</v>
      </c>
      <c r="V5" s="677">
        <f>IF(V2&lt;='0 Úvod'!$G$19+'0 Úvod'!$J$19-1,'4 Tržby'!V34+'4 Tržby'!V35,0)</f>
        <v>0</v>
      </c>
      <c r="W5" s="677">
        <f>IF(W2&lt;='0 Úvod'!$G$19+'0 Úvod'!$J$19-1,'4 Tržby'!W34+'4 Tržby'!W35,0)</f>
        <v>0</v>
      </c>
      <c r="X5" s="677">
        <f>IF(X2&lt;='0 Úvod'!$G$19+'0 Úvod'!$J$19-1,'4 Tržby'!X34+'4 Tržby'!X35,0)</f>
        <v>0</v>
      </c>
      <c r="Y5" s="677">
        <f>IF(Y2&lt;='0 Úvod'!$G$19+'0 Úvod'!$J$19-1,'4 Tržby'!Y34+'4 Tržby'!Y35,0)</f>
        <v>0</v>
      </c>
      <c r="Z5" s="677">
        <f>IF(Z2&lt;='0 Úvod'!$G$19+'0 Úvod'!$J$19-1,'4 Tržby'!Z34+'4 Tržby'!Z35,0)</f>
        <v>0</v>
      </c>
      <c r="AA5" s="677">
        <f>IF(AA2&lt;='0 Úvod'!$G$19+'0 Úvod'!$J$19-1,'4 Tržby'!AA34+'4 Tržby'!AA35,0)</f>
        <v>0</v>
      </c>
      <c r="AB5" s="677">
        <f>IF(AB2&lt;='0 Úvod'!$G$19+'0 Úvod'!$J$19-1,'4 Tržby'!AB34+'4 Tržby'!AB35,0)</f>
        <v>0</v>
      </c>
      <c r="AC5" s="678">
        <f>IF(AC2&lt;='0 Úvod'!$G$19+'0 Úvod'!$J$19-1,'4 Tržby'!AC34+'4 Tržby'!AC35,0)</f>
        <v>0</v>
      </c>
    </row>
    <row r="6" spans="2:29" ht="12">
      <c r="B6" s="669" t="s">
        <v>8</v>
      </c>
      <c r="C6" s="679" t="s">
        <v>125</v>
      </c>
      <c r="D6" s="675">
        <f>E6+NPV(D9,F6:AC6,E16:AC16)</f>
        <v>0</v>
      </c>
      <c r="E6" s="680">
        <f>'5 Finanční analýza (FRR_C)'!E6</f>
        <v>0</v>
      </c>
      <c r="F6" s="571">
        <f>'5 Finanční analýza (FRR_C)'!F6</f>
        <v>0</v>
      </c>
      <c r="G6" s="571">
        <f>'5 Finanční analýza (FRR_C)'!G6</f>
        <v>0</v>
      </c>
      <c r="H6" s="571">
        <f>'5 Finanční analýza (FRR_C)'!H6</f>
        <v>0</v>
      </c>
      <c r="I6" s="571">
        <f>'5 Finanční analýza (FRR_C)'!I6</f>
        <v>0</v>
      </c>
      <c r="J6" s="571">
        <f>'5 Finanční analýza (FRR_C)'!J6</f>
        <v>0</v>
      </c>
      <c r="K6" s="571">
        <f>'5 Finanční analýza (FRR_C)'!K6</f>
        <v>0</v>
      </c>
      <c r="L6" s="571">
        <f>'5 Finanční analýza (FRR_C)'!L6</f>
        <v>0</v>
      </c>
      <c r="M6" s="571">
        <f>'5 Finanční analýza (FRR_C)'!M6</f>
        <v>0</v>
      </c>
      <c r="N6" s="571">
        <f>'5 Finanční analýza (FRR_C)'!N6</f>
        <v>0</v>
      </c>
      <c r="O6" s="571">
        <f>'5 Finanční analýza (FRR_C)'!O6</f>
        <v>0</v>
      </c>
      <c r="P6" s="571">
        <f>'5 Finanční analýza (FRR_C)'!P6</f>
        <v>0</v>
      </c>
      <c r="Q6" s="571">
        <f>'5 Finanční analýza (FRR_C)'!Q6</f>
        <v>0</v>
      </c>
      <c r="R6" s="571">
        <f>'5 Finanční analýza (FRR_C)'!R6</f>
        <v>0</v>
      </c>
      <c r="S6" s="571">
        <f>'5 Finanční analýza (FRR_C)'!S6</f>
        <v>0</v>
      </c>
      <c r="T6" s="571">
        <f>'5 Finanční analýza (FRR_C)'!T6</f>
        <v>0</v>
      </c>
      <c r="U6" s="571">
        <f>'5 Finanční analýza (FRR_C)'!U6</f>
        <v>0</v>
      </c>
      <c r="V6" s="571">
        <f>'5 Finanční analýza (FRR_C)'!V6</f>
        <v>0</v>
      </c>
      <c r="W6" s="571">
        <f>'5 Finanční analýza (FRR_C)'!W6</f>
        <v>0</v>
      </c>
      <c r="X6" s="571">
        <f>'5 Finanční analýza (FRR_C)'!X6</f>
        <v>0</v>
      </c>
      <c r="Y6" s="571">
        <f>'5 Finanční analýza (FRR_C)'!Y6</f>
        <v>0</v>
      </c>
      <c r="Z6" s="571">
        <f>'5 Finanční analýza (FRR_C)'!Z6</f>
        <v>0</v>
      </c>
      <c r="AA6" s="571">
        <f>'5 Finanční analýza (FRR_C)'!AA6</f>
        <v>0</v>
      </c>
      <c r="AB6" s="571">
        <f>'5 Finanční analýza (FRR_C)'!AB6</f>
        <v>0</v>
      </c>
      <c r="AC6" s="572">
        <f>'5 Finanční analýza (FRR_C)'!AC6</f>
        <v>0</v>
      </c>
    </row>
    <row r="7" spans="2:29" ht="12">
      <c r="B7" s="669" t="s">
        <v>9</v>
      </c>
      <c r="C7" s="599" t="s">
        <v>186</v>
      </c>
      <c r="D7" s="675">
        <f>E7+NPV(D9,F7:AC7,E17:AC17)</f>
        <v>0</v>
      </c>
      <c r="E7" s="676">
        <f>E5-E6</f>
        <v>0</v>
      </c>
      <c r="F7" s="677">
        <f aca="true" t="shared" si="2" ref="F7:S7">F5-F6</f>
        <v>0</v>
      </c>
      <c r="G7" s="677">
        <f t="shared" si="2"/>
        <v>0</v>
      </c>
      <c r="H7" s="677">
        <f t="shared" si="2"/>
        <v>0</v>
      </c>
      <c r="I7" s="677">
        <f t="shared" si="2"/>
        <v>0</v>
      </c>
      <c r="J7" s="677">
        <f t="shared" si="2"/>
        <v>0</v>
      </c>
      <c r="K7" s="677">
        <f t="shared" si="2"/>
        <v>0</v>
      </c>
      <c r="L7" s="677">
        <f t="shared" si="2"/>
        <v>0</v>
      </c>
      <c r="M7" s="677">
        <f t="shared" si="2"/>
        <v>0</v>
      </c>
      <c r="N7" s="677">
        <f t="shared" si="2"/>
        <v>0</v>
      </c>
      <c r="O7" s="677">
        <f t="shared" si="2"/>
        <v>0</v>
      </c>
      <c r="P7" s="677">
        <f t="shared" si="2"/>
        <v>0</v>
      </c>
      <c r="Q7" s="677">
        <f t="shared" si="2"/>
        <v>0</v>
      </c>
      <c r="R7" s="677">
        <f t="shared" si="2"/>
        <v>0</v>
      </c>
      <c r="S7" s="677">
        <f t="shared" si="2"/>
        <v>0</v>
      </c>
      <c r="T7" s="677">
        <f aca="true" t="shared" si="3" ref="T7:AC7">T5-T6</f>
        <v>0</v>
      </c>
      <c r="U7" s="677">
        <f t="shared" si="3"/>
        <v>0</v>
      </c>
      <c r="V7" s="677">
        <f t="shared" si="3"/>
        <v>0</v>
      </c>
      <c r="W7" s="677">
        <f t="shared" si="3"/>
        <v>0</v>
      </c>
      <c r="X7" s="677">
        <f t="shared" si="3"/>
        <v>0</v>
      </c>
      <c r="Y7" s="677">
        <f t="shared" si="3"/>
        <v>0</v>
      </c>
      <c r="Z7" s="677">
        <f t="shared" si="3"/>
        <v>0</v>
      </c>
      <c r="AA7" s="677">
        <f t="shared" si="3"/>
        <v>0</v>
      </c>
      <c r="AB7" s="677">
        <f t="shared" si="3"/>
        <v>0</v>
      </c>
      <c r="AC7" s="678">
        <f t="shared" si="3"/>
        <v>0</v>
      </c>
    </row>
    <row r="8" spans="2:29" ht="12">
      <c r="B8" s="669" t="s">
        <v>10</v>
      </c>
      <c r="C8" s="681" t="s">
        <v>126</v>
      </c>
      <c r="D8" s="675" t="e">
        <f>E8+NPV(D9,F8:AC8,E18:AC18)</f>
        <v>#DIV/0!</v>
      </c>
      <c r="E8" s="676">
        <f>-1*'2 Zůstatková hodnota'!E16</f>
        <v>0</v>
      </c>
      <c r="F8" s="677">
        <f>-1*'2 Zůstatková hodnota'!F16</f>
        <v>0</v>
      </c>
      <c r="G8" s="677">
        <f>-1*'2 Zůstatková hodnota'!G16</f>
        <v>0</v>
      </c>
      <c r="H8" s="677">
        <f>-1*'2 Zůstatková hodnota'!H16</f>
        <v>0</v>
      </c>
      <c r="I8" s="677">
        <f>-1*'2 Zůstatková hodnota'!I16</f>
        <v>0</v>
      </c>
      <c r="J8" s="677">
        <f>-1*'2 Zůstatková hodnota'!J16</f>
        <v>0</v>
      </c>
      <c r="K8" s="677">
        <f>-1*'2 Zůstatková hodnota'!K16</f>
        <v>0</v>
      </c>
      <c r="L8" s="677">
        <f>-1*'2 Zůstatková hodnota'!L16</f>
        <v>0</v>
      </c>
      <c r="M8" s="677">
        <f>-1*'2 Zůstatková hodnota'!M16</f>
        <v>0</v>
      </c>
      <c r="N8" s="677">
        <f>-1*'2 Zůstatková hodnota'!N16</f>
        <v>0</v>
      </c>
      <c r="O8" s="677">
        <f>-1*'2 Zůstatková hodnota'!O16</f>
        <v>0</v>
      </c>
      <c r="P8" s="677">
        <f>-1*'2 Zůstatková hodnota'!P16</f>
        <v>0</v>
      </c>
      <c r="Q8" s="677">
        <f>-1*'2 Zůstatková hodnota'!Q16</f>
        <v>0</v>
      </c>
      <c r="R8" s="677">
        <f>-1*'2 Zůstatková hodnota'!R16</f>
        <v>0</v>
      </c>
      <c r="S8" s="677">
        <f>-1*'2 Zůstatková hodnota'!S16</f>
        <v>0</v>
      </c>
      <c r="T8" s="677">
        <f>-1*'2 Zůstatková hodnota'!T16</f>
        <v>0</v>
      </c>
      <c r="U8" s="677">
        <f>-1*'2 Zůstatková hodnota'!U16</f>
        <v>0</v>
      </c>
      <c r="V8" s="677">
        <f>-1*'2 Zůstatková hodnota'!V16</f>
        <v>0</v>
      </c>
      <c r="W8" s="677">
        <f>-1*'2 Zůstatková hodnota'!W16</f>
        <v>0</v>
      </c>
      <c r="X8" s="677">
        <f>-1*'2 Zůstatková hodnota'!X16</f>
        <v>0</v>
      </c>
      <c r="Y8" s="677">
        <f>-1*'2 Zůstatková hodnota'!Y16</f>
        <v>0</v>
      </c>
      <c r="Z8" s="677">
        <f>-1*'2 Zůstatková hodnota'!Z16</f>
        <v>0</v>
      </c>
      <c r="AA8" s="677">
        <f>-1*'2 Zůstatková hodnota'!AA16</f>
        <v>0</v>
      </c>
      <c r="AB8" s="677">
        <f>-1*'2 Zůstatková hodnota'!AB16</f>
        <v>0</v>
      </c>
      <c r="AC8" s="678">
        <f>-1*'2 Zůstatková hodnota'!AC16</f>
        <v>0</v>
      </c>
    </row>
    <row r="9" spans="2:29" ht="12">
      <c r="B9" s="682"/>
      <c r="C9" s="681" t="s">
        <v>127</v>
      </c>
      <c r="D9" s="683">
        <f>'0 Úvod'!D21</f>
        <v>0.05</v>
      </c>
      <c r="E9" s="684">
        <v>1</v>
      </c>
      <c r="F9" s="685">
        <f>1/(1+$D$9)</f>
        <v>0.9523809523809523</v>
      </c>
      <c r="G9" s="685">
        <f>F9/(1+$D$9)</f>
        <v>0.9070294784580498</v>
      </c>
      <c r="H9" s="685">
        <f aca="true" t="shared" si="4" ref="H9:S9">G9/(1+$D$9)</f>
        <v>0.863837598531476</v>
      </c>
      <c r="I9" s="685">
        <f t="shared" si="4"/>
        <v>0.8227024747918819</v>
      </c>
      <c r="J9" s="685">
        <f t="shared" si="4"/>
        <v>0.7835261664684589</v>
      </c>
      <c r="K9" s="685">
        <f t="shared" si="4"/>
        <v>0.7462153966366274</v>
      </c>
      <c r="L9" s="685">
        <f t="shared" si="4"/>
        <v>0.7106813301301212</v>
      </c>
      <c r="M9" s="685">
        <f t="shared" si="4"/>
        <v>0.6768393620286869</v>
      </c>
      <c r="N9" s="685">
        <f t="shared" si="4"/>
        <v>0.644608916217797</v>
      </c>
      <c r="O9" s="685">
        <f t="shared" si="4"/>
        <v>0.6139132535407591</v>
      </c>
      <c r="P9" s="685">
        <f t="shared" si="4"/>
        <v>0.5846792890864372</v>
      </c>
      <c r="Q9" s="685">
        <f t="shared" si="4"/>
        <v>0.5568374181775592</v>
      </c>
      <c r="R9" s="685">
        <f t="shared" si="4"/>
        <v>0.5303213506452944</v>
      </c>
      <c r="S9" s="685">
        <f t="shared" si="4"/>
        <v>0.5050679529955184</v>
      </c>
      <c r="T9" s="685">
        <f aca="true" t="shared" si="5" ref="T9:AC9">S9/(1+$D$9)</f>
        <v>0.48101709809096993</v>
      </c>
      <c r="U9" s="685">
        <f t="shared" si="5"/>
        <v>0.45811152199139993</v>
      </c>
      <c r="V9" s="685">
        <f t="shared" si="5"/>
        <v>0.43629668761085705</v>
      </c>
      <c r="W9" s="685">
        <f t="shared" si="5"/>
        <v>0.4155206548674829</v>
      </c>
      <c r="X9" s="685">
        <f t="shared" si="5"/>
        <v>0.3957339570166504</v>
      </c>
      <c r="Y9" s="685">
        <f t="shared" si="5"/>
        <v>0.37688948287300034</v>
      </c>
      <c r="Z9" s="685">
        <f t="shared" si="5"/>
        <v>0.3589423646409527</v>
      </c>
      <c r="AA9" s="685">
        <f t="shared" si="5"/>
        <v>0.3418498710866216</v>
      </c>
      <c r="AB9" s="685">
        <f t="shared" si="5"/>
        <v>0.3255713057967825</v>
      </c>
      <c r="AC9" s="686">
        <f t="shared" si="5"/>
        <v>0.31006791028265</v>
      </c>
    </row>
    <row r="10" spans="2:29" ht="12.75" thickBot="1">
      <c r="B10" s="687" t="s">
        <v>5</v>
      </c>
      <c r="C10" s="688" t="s">
        <v>203</v>
      </c>
      <c r="D10" s="689">
        <f>IF((E10+NPV(D9,F10:AC10,E20:AC20))&lt;=0,0,IF(('6 Kontrola dotací'!E35+NPV(D9,'6 Kontrola dotací'!F35:AC35,'6 Kontrola dotací'!E42:AC42))&gt;=(E10+NPV(D9,F10:AC10,E20:AC20)),0,-(E10+NPV(D9,F10:AC10,E20:AC20))+('6 Kontrola dotací'!E35+NPV(D9,'6 Kontrola dotací'!F35:AC35,'6 Kontrola dotací'!E42:AC42))))</f>
        <v>0</v>
      </c>
      <c r="E10" s="690">
        <f>IF(E2&lt;='0 Úvod'!$G$19+'0 Úvod'!$J$19-1,'6 Kontrola dotací'!E34,0)</f>
        <v>0</v>
      </c>
      <c r="F10" s="691">
        <f>IF(F2&lt;='0 Úvod'!$G$19+'0 Úvod'!$J$19-1,'6 Kontrola dotací'!F34,0)</f>
        <v>0</v>
      </c>
      <c r="G10" s="691">
        <f>IF(G2&lt;='0 Úvod'!$G$19+'0 Úvod'!$J$19-1,'6 Kontrola dotací'!G34,0)</f>
        <v>0</v>
      </c>
      <c r="H10" s="691">
        <f>IF(H2&lt;='0 Úvod'!$G$19+'0 Úvod'!$J$19-1,'6 Kontrola dotací'!H34,0)</f>
        <v>0</v>
      </c>
      <c r="I10" s="691">
        <f>IF(I2&lt;='0 Úvod'!$G$19+'0 Úvod'!$J$19-1,'6 Kontrola dotací'!I34,0)</f>
        <v>0</v>
      </c>
      <c r="J10" s="691">
        <f>IF(J2&lt;='0 Úvod'!$G$19+'0 Úvod'!$J$19-1,'6 Kontrola dotací'!J34,0)</f>
        <v>0</v>
      </c>
      <c r="K10" s="691">
        <f>IF(K2&lt;='0 Úvod'!$G$19+'0 Úvod'!$J$19-1,'6 Kontrola dotací'!K34,0)</f>
        <v>0</v>
      </c>
      <c r="L10" s="691">
        <f>IF(L2&lt;='0 Úvod'!$G$19+'0 Úvod'!$J$19-1,'6 Kontrola dotací'!L34,0)</f>
        <v>0</v>
      </c>
      <c r="M10" s="691">
        <f>IF(M2&lt;='0 Úvod'!$G$19+'0 Úvod'!$J$19-1,'6 Kontrola dotací'!M34,0)</f>
        <v>0</v>
      </c>
      <c r="N10" s="691">
        <f>IF(N2&lt;='0 Úvod'!$G$19+'0 Úvod'!$J$19-1,'6 Kontrola dotací'!N34,0)</f>
        <v>0</v>
      </c>
      <c r="O10" s="691">
        <f>IF(O2&lt;='0 Úvod'!$G$19+'0 Úvod'!$J$19-1,'6 Kontrola dotací'!O34,0)</f>
        <v>0</v>
      </c>
      <c r="P10" s="691">
        <f>IF(P2&lt;='0 Úvod'!$G$19+'0 Úvod'!$J$19-1,'6 Kontrola dotací'!P34,0)</f>
        <v>0</v>
      </c>
      <c r="Q10" s="691">
        <f>IF(Q2&lt;='0 Úvod'!$G$19+'0 Úvod'!$J$19-1,'6 Kontrola dotací'!Q34,0)</f>
        <v>0</v>
      </c>
      <c r="R10" s="691">
        <f>IF(R2&lt;='0 Úvod'!$G$19+'0 Úvod'!$J$19-1,'6 Kontrola dotací'!R34,0)</f>
        <v>0</v>
      </c>
      <c r="S10" s="691">
        <f>IF(S2&lt;='0 Úvod'!$G$19+'0 Úvod'!$J$19-1,'6 Kontrola dotací'!S34,0)</f>
        <v>0</v>
      </c>
      <c r="T10" s="691">
        <f>IF(T2&lt;='0 Úvod'!$G$19+'0 Úvod'!$J$19-1,'6 Kontrola dotací'!T34,0)</f>
        <v>0</v>
      </c>
      <c r="U10" s="691">
        <f>IF(U2&lt;='0 Úvod'!$G$19+'0 Úvod'!$J$19-1,'6 Kontrola dotací'!U34,0)</f>
        <v>0</v>
      </c>
      <c r="V10" s="691">
        <f>IF(V2&lt;='0 Úvod'!$G$19+'0 Úvod'!$J$19-1,'6 Kontrola dotací'!V34,0)</f>
        <v>0</v>
      </c>
      <c r="W10" s="691">
        <f>IF(W2&lt;='0 Úvod'!$G$19+'0 Úvod'!$J$19-1,'6 Kontrola dotací'!W34,0)</f>
        <v>0</v>
      </c>
      <c r="X10" s="691">
        <f>IF(X2&lt;='0 Úvod'!$G$19+'0 Úvod'!$J$19-1,'6 Kontrola dotací'!X34,0)</f>
        <v>0</v>
      </c>
      <c r="Y10" s="691">
        <f>IF(Y2&lt;='0 Úvod'!$G$19+'0 Úvod'!$J$19-1,'6 Kontrola dotací'!Y34,0)</f>
        <v>0</v>
      </c>
      <c r="Z10" s="691">
        <f>IF(Z2&lt;='0 Úvod'!$G$19+'0 Úvod'!$J$19-1,'6 Kontrola dotací'!Z34,0)</f>
        <v>0</v>
      </c>
      <c r="AA10" s="691">
        <f>IF(AA2&lt;='0 Úvod'!$G$19+'0 Úvod'!$J$19-1,'6 Kontrola dotací'!AA34,0)</f>
        <v>0</v>
      </c>
      <c r="AB10" s="691">
        <f>IF(AB2&lt;='0 Úvod'!$G$19+'0 Úvod'!$J$19-1,'6 Kontrola dotací'!AB34,0)</f>
        <v>0</v>
      </c>
      <c r="AC10" s="692">
        <f>IF(AC2&lt;='0 Úvod'!$G$19+'0 Úvod'!$J$19-1,'6 Kontrola dotací'!AC34,0)</f>
        <v>0</v>
      </c>
    </row>
    <row r="11" spans="2:28" ht="12" thickBot="1">
      <c r="B11" s="664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</row>
    <row r="12" spans="2:29" s="539" customFormat="1" ht="12.75">
      <c r="B12" s="614" t="s">
        <v>27</v>
      </c>
      <c r="C12" s="109" t="s">
        <v>123</v>
      </c>
      <c r="D12" s="110"/>
      <c r="E12" s="980">
        <f>AC2+1</f>
        <v>2039</v>
      </c>
      <c r="F12" s="980">
        <f aca="true" t="shared" si="6" ref="F12:S12">E12+1</f>
        <v>2040</v>
      </c>
      <c r="G12" s="980">
        <f t="shared" si="6"/>
        <v>2041</v>
      </c>
      <c r="H12" s="980">
        <f t="shared" si="6"/>
        <v>2042</v>
      </c>
      <c r="I12" s="980">
        <f t="shared" si="6"/>
        <v>2043</v>
      </c>
      <c r="J12" s="980">
        <f t="shared" si="6"/>
        <v>2044</v>
      </c>
      <c r="K12" s="980">
        <f t="shared" si="6"/>
        <v>2045</v>
      </c>
      <c r="L12" s="980">
        <f t="shared" si="6"/>
        <v>2046</v>
      </c>
      <c r="M12" s="980">
        <f t="shared" si="6"/>
        <v>2047</v>
      </c>
      <c r="N12" s="980">
        <f t="shared" si="6"/>
        <v>2048</v>
      </c>
      <c r="O12" s="980">
        <f t="shared" si="6"/>
        <v>2049</v>
      </c>
      <c r="P12" s="980">
        <f t="shared" si="6"/>
        <v>2050</v>
      </c>
      <c r="Q12" s="980">
        <f t="shared" si="6"/>
        <v>2051</v>
      </c>
      <c r="R12" s="980">
        <f t="shared" si="6"/>
        <v>2052</v>
      </c>
      <c r="S12" s="980">
        <f t="shared" si="6"/>
        <v>2053</v>
      </c>
      <c r="T12" s="980">
        <f aca="true" t="shared" si="7" ref="T12:AC12">S12+1</f>
        <v>2054</v>
      </c>
      <c r="U12" s="980">
        <f t="shared" si="7"/>
        <v>2055</v>
      </c>
      <c r="V12" s="980">
        <f t="shared" si="7"/>
        <v>2056</v>
      </c>
      <c r="W12" s="980">
        <f t="shared" si="7"/>
        <v>2057</v>
      </c>
      <c r="X12" s="980">
        <f t="shared" si="7"/>
        <v>2058</v>
      </c>
      <c r="Y12" s="980">
        <f t="shared" si="7"/>
        <v>2059</v>
      </c>
      <c r="Z12" s="980">
        <f t="shared" si="7"/>
        <v>2060</v>
      </c>
      <c r="AA12" s="980">
        <f t="shared" si="7"/>
        <v>2061</v>
      </c>
      <c r="AB12" s="980">
        <f t="shared" si="7"/>
        <v>2062</v>
      </c>
      <c r="AC12" s="992">
        <f t="shared" si="7"/>
        <v>2063</v>
      </c>
    </row>
    <row r="13" spans="2:29" s="539" customFormat="1" ht="13.5" thickBot="1">
      <c r="B13" s="333" t="s">
        <v>26</v>
      </c>
      <c r="C13" s="693" t="s">
        <v>124</v>
      </c>
      <c r="D13" s="694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968"/>
    </row>
    <row r="14" spans="2:29" ht="12">
      <c r="B14" s="669" t="s">
        <v>6</v>
      </c>
      <c r="C14" s="670" t="s">
        <v>234</v>
      </c>
      <c r="D14" s="695"/>
      <c r="E14" s="672">
        <f>'5 Finanční analýza (FRR_C)'!E19</f>
        <v>0</v>
      </c>
      <c r="F14" s="673">
        <f>'5 Finanční analýza (FRR_C)'!F19</f>
        <v>0</v>
      </c>
      <c r="G14" s="673">
        <f>'5 Finanční analýza (FRR_C)'!G19</f>
        <v>0</v>
      </c>
      <c r="H14" s="673">
        <f>'5 Finanční analýza (FRR_C)'!H19</f>
        <v>0</v>
      </c>
      <c r="I14" s="673">
        <f>'5 Finanční analýza (FRR_C)'!I19</f>
        <v>0</v>
      </c>
      <c r="J14" s="673">
        <f>'5 Finanční analýza (FRR_C)'!J19</f>
        <v>0</v>
      </c>
      <c r="K14" s="673">
        <f>'5 Finanční analýza (FRR_C)'!K19</f>
        <v>0</v>
      </c>
      <c r="L14" s="673">
        <f>'5 Finanční analýza (FRR_C)'!L19</f>
        <v>0</v>
      </c>
      <c r="M14" s="673">
        <f>'5 Finanční analýza (FRR_C)'!M19</f>
        <v>0</v>
      </c>
      <c r="N14" s="673">
        <f>'5 Finanční analýza (FRR_C)'!N19</f>
        <v>0</v>
      </c>
      <c r="O14" s="673">
        <f>'5 Finanční analýza (FRR_C)'!O19</f>
        <v>0</v>
      </c>
      <c r="P14" s="673">
        <f>'5 Finanční analýza (FRR_C)'!P19</f>
        <v>0</v>
      </c>
      <c r="Q14" s="673">
        <f>'5 Finanční analýza (FRR_C)'!Q19</f>
        <v>0</v>
      </c>
      <c r="R14" s="673">
        <f>'5 Finanční analýza (FRR_C)'!R19</f>
        <v>0</v>
      </c>
      <c r="S14" s="673">
        <f>'5 Finanční analýza (FRR_C)'!S19</f>
        <v>0</v>
      </c>
      <c r="T14" s="673">
        <f>'5 Finanční analýza (FRR_C)'!T19</f>
        <v>0</v>
      </c>
      <c r="U14" s="673">
        <f>'5 Finanční analýza (FRR_C)'!U19</f>
        <v>0</v>
      </c>
      <c r="V14" s="673">
        <f>'5 Finanční analýza (FRR_C)'!V19</f>
        <v>0</v>
      </c>
      <c r="W14" s="673">
        <f>'5 Finanční analýza (FRR_C)'!W19</f>
        <v>0</v>
      </c>
      <c r="X14" s="673">
        <f>'5 Finanční analýza (FRR_C)'!X19</f>
        <v>0</v>
      </c>
      <c r="Y14" s="673">
        <f>'5 Finanční analýza (FRR_C)'!Y19</f>
        <v>0</v>
      </c>
      <c r="Z14" s="673">
        <f>'5 Finanční analýza (FRR_C)'!Z19</f>
        <v>0</v>
      </c>
      <c r="AA14" s="673">
        <f>'5 Finanční analýza (FRR_C)'!AA19</f>
        <v>0</v>
      </c>
      <c r="AB14" s="673">
        <f>'5 Finanční analýza (FRR_C)'!AB19</f>
        <v>0</v>
      </c>
      <c r="AC14" s="674">
        <f>'5 Finanční analýza (FRR_C)'!AC19</f>
        <v>0</v>
      </c>
    </row>
    <row r="15" spans="2:29" ht="12">
      <c r="B15" s="669" t="s">
        <v>7</v>
      </c>
      <c r="C15" s="599" t="s">
        <v>187</v>
      </c>
      <c r="D15" s="696"/>
      <c r="E15" s="676">
        <f>IF(E12&lt;='0 Úvod'!$G$19+'0 Úvod'!$J$19-1,'4 Tržby'!E41+'4 Tržby'!E42,0)</f>
        <v>0</v>
      </c>
      <c r="F15" s="677">
        <f>IF(F12&lt;='0 Úvod'!$G$19+'0 Úvod'!$J$19-1,'4 Tržby'!F41+'4 Tržby'!F42,0)</f>
        <v>0</v>
      </c>
      <c r="G15" s="677">
        <f>IF(G12&lt;='0 Úvod'!$G$19+'0 Úvod'!$J$19-1,'4 Tržby'!G41+'4 Tržby'!G42,0)</f>
        <v>0</v>
      </c>
      <c r="H15" s="677">
        <f>IF(H12&lt;='0 Úvod'!$G$19+'0 Úvod'!$J$19-1,'4 Tržby'!H41+'4 Tržby'!H42,0)</f>
        <v>0</v>
      </c>
      <c r="I15" s="677">
        <f>IF(I12&lt;='0 Úvod'!$G$19+'0 Úvod'!$J$19-1,'4 Tržby'!I41+'4 Tržby'!I42,0)</f>
        <v>0</v>
      </c>
      <c r="J15" s="677">
        <f>IF(J12&lt;='0 Úvod'!$G$19+'0 Úvod'!$J$19-1,'4 Tržby'!J41+'4 Tržby'!J42,0)</f>
        <v>0</v>
      </c>
      <c r="K15" s="677">
        <f>IF(K12&lt;='0 Úvod'!$G$19+'0 Úvod'!$J$19-1,'4 Tržby'!K41+'4 Tržby'!K42,0)</f>
        <v>0</v>
      </c>
      <c r="L15" s="677">
        <f>IF(L12&lt;='0 Úvod'!$G$19+'0 Úvod'!$J$19-1,'4 Tržby'!L41+'4 Tržby'!L42,0)</f>
        <v>0</v>
      </c>
      <c r="M15" s="677">
        <f>IF(M12&lt;='0 Úvod'!$G$19+'0 Úvod'!$J$19-1,'4 Tržby'!M41+'4 Tržby'!M42,0)</f>
        <v>0</v>
      </c>
      <c r="N15" s="677">
        <f>IF(N12&lt;='0 Úvod'!$G$19+'0 Úvod'!$J$19-1,'4 Tržby'!N41+'4 Tržby'!N42,0)</f>
        <v>0</v>
      </c>
      <c r="O15" s="677">
        <f>IF(O12&lt;='0 Úvod'!$G$19+'0 Úvod'!$J$19-1,'4 Tržby'!O41+'4 Tržby'!O42,0)</f>
        <v>0</v>
      </c>
      <c r="P15" s="677">
        <f>IF(P12&lt;='0 Úvod'!$G$19+'0 Úvod'!$J$19-1,'4 Tržby'!P41+'4 Tržby'!P42,0)</f>
        <v>0</v>
      </c>
      <c r="Q15" s="677">
        <f>IF(Q12&lt;='0 Úvod'!$G$19+'0 Úvod'!$J$19-1,'4 Tržby'!Q41+'4 Tržby'!Q42,0)</f>
        <v>0</v>
      </c>
      <c r="R15" s="677">
        <f>IF(R12&lt;='0 Úvod'!$G$19+'0 Úvod'!$J$19-1,'4 Tržby'!R41+'4 Tržby'!R42,0)</f>
        <v>0</v>
      </c>
      <c r="S15" s="677">
        <f>IF(S12&lt;='0 Úvod'!$G$19+'0 Úvod'!$J$19-1,'4 Tržby'!S41+'4 Tržby'!S42,0)</f>
        <v>0</v>
      </c>
      <c r="T15" s="677">
        <f>IF(T12&lt;='0 Úvod'!$G$19+'0 Úvod'!$J$19-1,'4 Tržby'!T41+'4 Tržby'!T42,0)</f>
        <v>0</v>
      </c>
      <c r="U15" s="677">
        <f>IF(U12&lt;='0 Úvod'!$G$19+'0 Úvod'!$J$19-1,'4 Tržby'!U41+'4 Tržby'!U42,0)</f>
        <v>0</v>
      </c>
      <c r="V15" s="677">
        <f>IF(V12&lt;='0 Úvod'!$G$19+'0 Úvod'!$J$19-1,'4 Tržby'!V41+'4 Tržby'!V42,0)</f>
        <v>0</v>
      </c>
      <c r="W15" s="677">
        <f>IF(W12&lt;='0 Úvod'!$G$19+'0 Úvod'!$J$19-1,'4 Tržby'!W41+'4 Tržby'!W42,0)</f>
        <v>0</v>
      </c>
      <c r="X15" s="677">
        <f>IF(X12&lt;='0 Úvod'!$G$19+'0 Úvod'!$J$19-1,'4 Tržby'!X41+'4 Tržby'!X42,0)</f>
        <v>0</v>
      </c>
      <c r="Y15" s="677">
        <f>IF(Y12&lt;='0 Úvod'!$G$19+'0 Úvod'!$J$19-1,'4 Tržby'!Y41+'4 Tržby'!Y42,0)</f>
        <v>0</v>
      </c>
      <c r="Z15" s="677">
        <f>IF(Z12&lt;='0 Úvod'!$G$19+'0 Úvod'!$J$19-1,'4 Tržby'!Z41+'4 Tržby'!Z42,0)</f>
        <v>0</v>
      </c>
      <c r="AA15" s="677">
        <f>IF(AA12&lt;='0 Úvod'!$G$19+'0 Úvod'!$J$19-1,'4 Tržby'!AA41+'4 Tržby'!AA42,0)</f>
        <v>0</v>
      </c>
      <c r="AB15" s="677">
        <f>IF(AB12&lt;='0 Úvod'!$G$19+'0 Úvod'!$J$19-1,'4 Tržby'!AB41+'4 Tržby'!AB42,0)</f>
        <v>0</v>
      </c>
      <c r="AC15" s="678">
        <f>IF(AC12&lt;='0 Úvod'!$G$19+'0 Úvod'!$J$19-1,'4 Tržby'!AC41+'4 Tržby'!AC42,0)</f>
        <v>0</v>
      </c>
    </row>
    <row r="16" spans="2:29" ht="12">
      <c r="B16" s="669" t="s">
        <v>8</v>
      </c>
      <c r="C16" s="679" t="s">
        <v>125</v>
      </c>
      <c r="D16" s="685"/>
      <c r="E16" s="676">
        <f>'5 Finanční analýza (FRR_C)'!E18</f>
        <v>0</v>
      </c>
      <c r="F16" s="677">
        <f>'5 Finanční analýza (FRR_C)'!F18</f>
        <v>0</v>
      </c>
      <c r="G16" s="677">
        <f>'5 Finanční analýza (FRR_C)'!G18</f>
        <v>0</v>
      </c>
      <c r="H16" s="677">
        <f>'5 Finanční analýza (FRR_C)'!H18</f>
        <v>0</v>
      </c>
      <c r="I16" s="677">
        <f>'5 Finanční analýza (FRR_C)'!I18</f>
        <v>0</v>
      </c>
      <c r="J16" s="677">
        <f>'5 Finanční analýza (FRR_C)'!J18</f>
        <v>0</v>
      </c>
      <c r="K16" s="677">
        <f>'5 Finanční analýza (FRR_C)'!K18</f>
        <v>0</v>
      </c>
      <c r="L16" s="677">
        <f>'5 Finanční analýza (FRR_C)'!L18</f>
        <v>0</v>
      </c>
      <c r="M16" s="677">
        <f>'5 Finanční analýza (FRR_C)'!M18</f>
        <v>0</v>
      </c>
      <c r="N16" s="677">
        <f>'5 Finanční analýza (FRR_C)'!N18</f>
        <v>0</v>
      </c>
      <c r="O16" s="677">
        <f>'5 Finanční analýza (FRR_C)'!O18</f>
        <v>0</v>
      </c>
      <c r="P16" s="677">
        <f>'5 Finanční analýza (FRR_C)'!P18</f>
        <v>0</v>
      </c>
      <c r="Q16" s="677">
        <f>'5 Finanční analýza (FRR_C)'!Q18</f>
        <v>0</v>
      </c>
      <c r="R16" s="677">
        <f>'5 Finanční analýza (FRR_C)'!R18</f>
        <v>0</v>
      </c>
      <c r="S16" s="677">
        <f>'5 Finanční analýza (FRR_C)'!S18</f>
        <v>0</v>
      </c>
      <c r="T16" s="677">
        <f>'5 Finanční analýza (FRR_C)'!T18</f>
        <v>0</v>
      </c>
      <c r="U16" s="677">
        <f>'5 Finanční analýza (FRR_C)'!U18</f>
        <v>0</v>
      </c>
      <c r="V16" s="677">
        <f>'5 Finanční analýza (FRR_C)'!V18</f>
        <v>0</v>
      </c>
      <c r="W16" s="677">
        <f>'5 Finanční analýza (FRR_C)'!W18</f>
        <v>0</v>
      </c>
      <c r="X16" s="677">
        <f>'5 Finanční analýza (FRR_C)'!X18</f>
        <v>0</v>
      </c>
      <c r="Y16" s="677">
        <f>'5 Finanční analýza (FRR_C)'!Y18</f>
        <v>0</v>
      </c>
      <c r="Z16" s="677">
        <f>'5 Finanční analýza (FRR_C)'!Z18</f>
        <v>0</v>
      </c>
      <c r="AA16" s="677">
        <f>'5 Finanční analýza (FRR_C)'!AA18</f>
        <v>0</v>
      </c>
      <c r="AB16" s="677">
        <f>'5 Finanční analýza (FRR_C)'!AB18</f>
        <v>0</v>
      </c>
      <c r="AC16" s="572">
        <f>'5 Finanční analýza (FRR_C)'!AC18</f>
        <v>0</v>
      </c>
    </row>
    <row r="17" spans="2:29" ht="12">
      <c r="B17" s="669" t="s">
        <v>9</v>
      </c>
      <c r="C17" s="599" t="s">
        <v>186</v>
      </c>
      <c r="D17" s="685"/>
      <c r="E17" s="676">
        <f>E15-E16</f>
        <v>0</v>
      </c>
      <c r="F17" s="677">
        <f aca="true" t="shared" si="8" ref="F17:S17">F15-F16</f>
        <v>0</v>
      </c>
      <c r="G17" s="677">
        <f t="shared" si="8"/>
        <v>0</v>
      </c>
      <c r="H17" s="677">
        <f t="shared" si="8"/>
        <v>0</v>
      </c>
      <c r="I17" s="677">
        <f t="shared" si="8"/>
        <v>0</v>
      </c>
      <c r="J17" s="677">
        <f t="shared" si="8"/>
        <v>0</v>
      </c>
      <c r="K17" s="677">
        <f t="shared" si="8"/>
        <v>0</v>
      </c>
      <c r="L17" s="677">
        <f t="shared" si="8"/>
        <v>0</v>
      </c>
      <c r="M17" s="677">
        <f t="shared" si="8"/>
        <v>0</v>
      </c>
      <c r="N17" s="677">
        <f t="shared" si="8"/>
        <v>0</v>
      </c>
      <c r="O17" s="677">
        <f t="shared" si="8"/>
        <v>0</v>
      </c>
      <c r="P17" s="677">
        <f t="shared" si="8"/>
        <v>0</v>
      </c>
      <c r="Q17" s="677">
        <f t="shared" si="8"/>
        <v>0</v>
      </c>
      <c r="R17" s="677">
        <f t="shared" si="8"/>
        <v>0</v>
      </c>
      <c r="S17" s="677">
        <f t="shared" si="8"/>
        <v>0</v>
      </c>
      <c r="T17" s="677">
        <f aca="true" t="shared" si="9" ref="T17:AC17">T15-T16</f>
        <v>0</v>
      </c>
      <c r="U17" s="677">
        <f t="shared" si="9"/>
        <v>0</v>
      </c>
      <c r="V17" s="677">
        <f t="shared" si="9"/>
        <v>0</v>
      </c>
      <c r="W17" s="677">
        <f t="shared" si="9"/>
        <v>0</v>
      </c>
      <c r="X17" s="677">
        <f t="shared" si="9"/>
        <v>0</v>
      </c>
      <c r="Y17" s="677">
        <f t="shared" si="9"/>
        <v>0</v>
      </c>
      <c r="Z17" s="677">
        <f t="shared" si="9"/>
        <v>0</v>
      </c>
      <c r="AA17" s="677">
        <f t="shared" si="9"/>
        <v>0</v>
      </c>
      <c r="AB17" s="677">
        <f t="shared" si="9"/>
        <v>0</v>
      </c>
      <c r="AC17" s="678">
        <f t="shared" si="9"/>
        <v>0</v>
      </c>
    </row>
    <row r="18" spans="2:29" ht="12">
      <c r="B18" s="669" t="s">
        <v>10</v>
      </c>
      <c r="C18" s="681" t="s">
        <v>126</v>
      </c>
      <c r="D18" s="685"/>
      <c r="E18" s="676">
        <f>-1*'2 Zůstatková hodnota'!E32</f>
        <v>0</v>
      </c>
      <c r="F18" s="677">
        <f>-1*'2 Zůstatková hodnota'!F32</f>
        <v>0</v>
      </c>
      <c r="G18" s="677">
        <f>-1*'2 Zůstatková hodnota'!G32</f>
        <v>0</v>
      </c>
      <c r="H18" s="677">
        <f>-1*'2 Zůstatková hodnota'!H32</f>
        <v>0</v>
      </c>
      <c r="I18" s="677" t="e">
        <f>-1*'2 Zůstatková hodnota'!I32</f>
        <v>#DIV/0!</v>
      </c>
      <c r="J18" s="677">
        <f>-1*'2 Zůstatková hodnota'!J32</f>
        <v>0</v>
      </c>
      <c r="K18" s="677">
        <f>-1*'2 Zůstatková hodnota'!K32</f>
        <v>0</v>
      </c>
      <c r="L18" s="677">
        <f>-1*'2 Zůstatková hodnota'!L32</f>
        <v>0</v>
      </c>
      <c r="M18" s="677">
        <f>-1*'2 Zůstatková hodnota'!M32</f>
        <v>0</v>
      </c>
      <c r="N18" s="677">
        <f>-1*'2 Zůstatková hodnota'!N32</f>
        <v>0</v>
      </c>
      <c r="O18" s="677">
        <f>-1*'2 Zůstatková hodnota'!O32</f>
        <v>0</v>
      </c>
      <c r="P18" s="677">
        <f>-1*'2 Zůstatková hodnota'!P32</f>
        <v>0</v>
      </c>
      <c r="Q18" s="677">
        <f>-1*'2 Zůstatková hodnota'!Q32</f>
        <v>0</v>
      </c>
      <c r="R18" s="677">
        <f>-1*'2 Zůstatková hodnota'!R32</f>
        <v>0</v>
      </c>
      <c r="S18" s="677">
        <f>-1*'2 Zůstatková hodnota'!S32</f>
        <v>0</v>
      </c>
      <c r="T18" s="677">
        <f>-1*'2 Zůstatková hodnota'!T32</f>
        <v>0</v>
      </c>
      <c r="U18" s="677">
        <f>-1*'2 Zůstatková hodnota'!U32</f>
        <v>0</v>
      </c>
      <c r="V18" s="677">
        <f>-1*'2 Zůstatková hodnota'!V32</f>
        <v>0</v>
      </c>
      <c r="W18" s="677">
        <f>-1*'2 Zůstatková hodnota'!W32</f>
        <v>0</v>
      </c>
      <c r="X18" s="677">
        <f>-1*'2 Zůstatková hodnota'!X32</f>
        <v>0</v>
      </c>
      <c r="Y18" s="677">
        <f>-1*'2 Zůstatková hodnota'!Y32</f>
        <v>0</v>
      </c>
      <c r="Z18" s="677">
        <f>-1*'2 Zůstatková hodnota'!Z32</f>
        <v>0</v>
      </c>
      <c r="AA18" s="677">
        <f>-1*'2 Zůstatková hodnota'!AA32</f>
        <v>0</v>
      </c>
      <c r="AB18" s="677">
        <f>-1*'2 Zůstatková hodnota'!AB32</f>
        <v>0</v>
      </c>
      <c r="AC18" s="678">
        <f>-1*'2 Zůstatková hodnota'!AC32</f>
        <v>0</v>
      </c>
    </row>
    <row r="19" spans="2:29" ht="12">
      <c r="B19" s="682"/>
      <c r="C19" s="681" t="s">
        <v>127</v>
      </c>
      <c r="D19" s="697">
        <f>D9</f>
        <v>0.05</v>
      </c>
      <c r="E19" s="698">
        <f>AC9/(1+$D$9)</f>
        <v>0.2953027716977619</v>
      </c>
      <c r="F19" s="685">
        <f>E19/(1+$D$9)</f>
        <v>0.2812407349502494</v>
      </c>
      <c r="G19" s="685">
        <f aca="true" t="shared" si="10" ref="G19:S19">F19/(1+$D$9)</f>
        <v>0.26784831900023753</v>
      </c>
      <c r="H19" s="685">
        <f t="shared" si="10"/>
        <v>0.25509363714308336</v>
      </c>
      <c r="I19" s="685">
        <f t="shared" si="10"/>
        <v>0.2429463210886508</v>
      </c>
      <c r="J19" s="685">
        <f t="shared" si="10"/>
        <v>0.2313774486558579</v>
      </c>
      <c r="K19" s="685">
        <f t="shared" si="10"/>
        <v>0.22035947491034086</v>
      </c>
      <c r="L19" s="685">
        <f t="shared" si="10"/>
        <v>0.209866166581277</v>
      </c>
      <c r="M19" s="685">
        <f t="shared" si="10"/>
        <v>0.19987253960121618</v>
      </c>
      <c r="N19" s="685">
        <f t="shared" si="10"/>
        <v>0.19035479962020588</v>
      </c>
      <c r="O19" s="685">
        <f t="shared" si="10"/>
        <v>0.18129028535257702</v>
      </c>
      <c r="P19" s="685">
        <f t="shared" si="10"/>
        <v>0.17265741462150191</v>
      </c>
      <c r="Q19" s="685">
        <f t="shared" si="10"/>
        <v>0.16443563297285896</v>
      </c>
      <c r="R19" s="685">
        <f t="shared" si="10"/>
        <v>0.15660536473605616</v>
      </c>
      <c r="S19" s="685">
        <f t="shared" si="10"/>
        <v>0.14914796641529157</v>
      </c>
      <c r="T19" s="685">
        <f aca="true" t="shared" si="11" ref="T19:AC19">S19/(1+$D$9)</f>
        <v>0.14204568230027767</v>
      </c>
      <c r="U19" s="685">
        <f t="shared" si="11"/>
        <v>0.13528160219074065</v>
      </c>
      <c r="V19" s="685">
        <f t="shared" si="11"/>
        <v>0.1288396211340387</v>
      </c>
      <c r="W19" s="685">
        <f t="shared" si="11"/>
        <v>0.12270440108003686</v>
      </c>
      <c r="X19" s="685">
        <f t="shared" si="11"/>
        <v>0.11686133436193986</v>
      </c>
      <c r="Y19" s="685">
        <f t="shared" si="11"/>
        <v>0.1112965089161332</v>
      </c>
      <c r="Z19" s="685">
        <f t="shared" si="11"/>
        <v>0.10599667515822209</v>
      </c>
      <c r="AA19" s="685">
        <f t="shared" si="11"/>
        <v>0.10094921443640198</v>
      </c>
      <c r="AB19" s="685">
        <f t="shared" si="11"/>
        <v>0.0961421089870495</v>
      </c>
      <c r="AC19" s="686">
        <f t="shared" si="11"/>
        <v>0.09156391332099952</v>
      </c>
    </row>
    <row r="20" spans="2:29" ht="12.75" thickBot="1">
      <c r="B20" s="687" t="s">
        <v>5</v>
      </c>
      <c r="C20" s="688" t="s">
        <v>203</v>
      </c>
      <c r="D20" s="699"/>
      <c r="E20" s="690">
        <f>IF(E12&lt;='0 Úvod'!$G$19+'0 Úvod'!$J$19-1,'6 Kontrola dotací'!E41,0)</f>
        <v>0</v>
      </c>
      <c r="F20" s="691">
        <f>IF(F12&lt;='0 Úvod'!$G$19+'0 Úvod'!$J$19-1,'6 Kontrola dotací'!F41,0)</f>
        <v>0</v>
      </c>
      <c r="G20" s="691">
        <f>IF(G12&lt;='0 Úvod'!$G$19+'0 Úvod'!$J$19-1,'6 Kontrola dotací'!G41,0)</f>
        <v>0</v>
      </c>
      <c r="H20" s="691">
        <f>IF(H12&lt;='0 Úvod'!$G$19+'0 Úvod'!$J$19-1,'6 Kontrola dotací'!H41,0)</f>
        <v>0</v>
      </c>
      <c r="I20" s="691">
        <f>IF(I12&lt;='0 Úvod'!$G$19+'0 Úvod'!$J$19-1,'6 Kontrola dotací'!I41,0)</f>
        <v>0</v>
      </c>
      <c r="J20" s="691">
        <f>IF(J12&lt;='0 Úvod'!$G$19+'0 Úvod'!$J$19-1,'6 Kontrola dotací'!J41,0)</f>
        <v>0</v>
      </c>
      <c r="K20" s="691">
        <f>IF(K12&lt;='0 Úvod'!$G$19+'0 Úvod'!$J$19-1,'6 Kontrola dotací'!K41,0)</f>
        <v>0</v>
      </c>
      <c r="L20" s="691">
        <f>IF(L12&lt;='0 Úvod'!$G$19+'0 Úvod'!$J$19-1,'6 Kontrola dotací'!L41,0)</f>
        <v>0</v>
      </c>
      <c r="M20" s="691">
        <f>IF(M12&lt;='0 Úvod'!$G$19+'0 Úvod'!$J$19-1,'6 Kontrola dotací'!M41,0)</f>
        <v>0</v>
      </c>
      <c r="N20" s="691">
        <f>IF(N12&lt;='0 Úvod'!$G$19+'0 Úvod'!$J$19-1,'6 Kontrola dotací'!N41,0)</f>
        <v>0</v>
      </c>
      <c r="O20" s="691">
        <f>IF(O12&lt;='0 Úvod'!$G$19+'0 Úvod'!$J$19-1,'6 Kontrola dotací'!O41,0)</f>
        <v>0</v>
      </c>
      <c r="P20" s="691">
        <f>IF(P12&lt;='0 Úvod'!$G$19+'0 Úvod'!$J$19-1,'6 Kontrola dotací'!P41,0)</f>
        <v>0</v>
      </c>
      <c r="Q20" s="691">
        <f>IF(Q12&lt;='0 Úvod'!$G$19+'0 Úvod'!$J$19-1,'6 Kontrola dotací'!Q41,0)</f>
        <v>0</v>
      </c>
      <c r="R20" s="691">
        <f>IF(R12&lt;='0 Úvod'!$G$19+'0 Úvod'!$J$19-1,'6 Kontrola dotací'!R41,0)</f>
        <v>0</v>
      </c>
      <c r="S20" s="691">
        <f>IF(S12&lt;='0 Úvod'!$G$19+'0 Úvod'!$J$19-1,'6 Kontrola dotací'!S41,0)</f>
        <v>0</v>
      </c>
      <c r="T20" s="691">
        <f>IF(T12&lt;='0 Úvod'!$G$19+'0 Úvod'!$J$19-1,'6 Kontrola dotací'!T41,0)</f>
        <v>0</v>
      </c>
      <c r="U20" s="691">
        <f>IF(U12&lt;='0 Úvod'!$G$19+'0 Úvod'!$J$19-1,'6 Kontrola dotací'!U41,0)</f>
        <v>0</v>
      </c>
      <c r="V20" s="691">
        <f>IF(V12&lt;='0 Úvod'!$G$19+'0 Úvod'!$J$19-1,'6 Kontrola dotací'!V41,0)</f>
        <v>0</v>
      </c>
      <c r="W20" s="691">
        <f>IF(W12&lt;='0 Úvod'!$G$19+'0 Úvod'!$J$19-1,'6 Kontrola dotací'!W41,0)</f>
        <v>0</v>
      </c>
      <c r="X20" s="691">
        <f>IF(X12&lt;='0 Úvod'!$G$19+'0 Úvod'!$J$19-1,'6 Kontrola dotací'!X41,0)</f>
        <v>0</v>
      </c>
      <c r="Y20" s="691">
        <f>IF(Y12&lt;='0 Úvod'!$G$19+'0 Úvod'!$J$19-1,'6 Kontrola dotací'!Y41,0)</f>
        <v>0</v>
      </c>
      <c r="Z20" s="691">
        <f>IF(Z12&lt;='0 Úvod'!$G$19+'0 Úvod'!$J$19-1,'6 Kontrola dotací'!Z41,0)</f>
        <v>0</v>
      </c>
      <c r="AA20" s="691">
        <f>IF(AA12&lt;='0 Úvod'!$G$19+'0 Úvod'!$J$19-1,'6 Kontrola dotací'!AA41,0)</f>
        <v>0</v>
      </c>
      <c r="AB20" s="691">
        <f>IF(AB12&lt;='0 Úvod'!$G$19+'0 Úvod'!$J$19-1,'6 Kontrola dotací'!AB41,0)</f>
        <v>0</v>
      </c>
      <c r="AC20" s="692">
        <f>IF(AC12&lt;='0 Úvod'!$G$19+'0 Úvod'!$J$19-1,'6 Kontrola dotací'!AC41,0)</f>
        <v>0</v>
      </c>
    </row>
    <row r="21" spans="2:18" ht="11.25">
      <c r="B21" s="664"/>
      <c r="C21" s="665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</row>
    <row r="22" spans="5:8" ht="12" thickBot="1">
      <c r="E22" s="539"/>
      <c r="F22" s="539"/>
      <c r="G22" s="539"/>
      <c r="H22" s="539"/>
    </row>
    <row r="23" spans="2:19" ht="22.5" customHeight="1" thickBot="1">
      <c r="B23" s="700" t="s">
        <v>299</v>
      </c>
      <c r="C23" s="701" t="s">
        <v>128</v>
      </c>
      <c r="D23" s="701"/>
      <c r="E23" s="701"/>
      <c r="F23" s="701"/>
      <c r="G23" s="702" t="s">
        <v>4</v>
      </c>
      <c r="H23" s="703" t="s">
        <v>0</v>
      </c>
      <c r="J23" s="1036" t="s">
        <v>77</v>
      </c>
      <c r="K23" s="1037"/>
      <c r="L23" s="1037"/>
      <c r="M23" s="1037"/>
      <c r="N23" s="1037"/>
      <c r="O23" s="1037"/>
      <c r="P23" s="1037"/>
      <c r="Q23" s="1037"/>
      <c r="R23" s="1037"/>
      <c r="S23" s="1038"/>
    </row>
    <row r="24" spans="2:19" ht="12">
      <c r="B24" s="704"/>
      <c r="C24" s="705" t="s">
        <v>301</v>
      </c>
      <c r="D24" s="706"/>
      <c r="E24" s="706"/>
      <c r="F24" s="706"/>
      <c r="G24" s="900" t="e">
        <f>'1 Celkové investiční náklady'!F11*('1 Celkové investiční náklady'!E45/'1 Celkové investiční náklady'!F45)</f>
        <v>#DIV/0!</v>
      </c>
      <c r="H24" s="707" t="e">
        <f>G24/'0 Úvod'!N19</f>
        <v>#DIV/0!</v>
      </c>
      <c r="I24" s="539"/>
      <c r="J24" s="1030" t="s">
        <v>132</v>
      </c>
      <c r="K24" s="1031"/>
      <c r="L24" s="1031"/>
      <c r="M24" s="1031"/>
      <c r="N24" s="1031"/>
      <c r="O24" s="1031"/>
      <c r="P24" s="1031"/>
      <c r="Q24" s="1031"/>
      <c r="R24" s="1031"/>
      <c r="S24" s="1032"/>
    </row>
    <row r="25" spans="2:19" ht="12">
      <c r="B25" s="708"/>
      <c r="C25" s="709" t="s">
        <v>188</v>
      </c>
      <c r="D25" s="710"/>
      <c r="E25" s="710"/>
      <c r="F25" s="710"/>
      <c r="G25" s="711" t="e">
        <f>ROUND((D4-D5+D8+D10)/D4,4)</f>
        <v>#DIV/0!</v>
      </c>
      <c r="H25" s="712"/>
      <c r="I25" s="539"/>
      <c r="J25" s="1033"/>
      <c r="K25" s="1034"/>
      <c r="L25" s="1034"/>
      <c r="M25" s="1034"/>
      <c r="N25" s="1034"/>
      <c r="O25" s="1034"/>
      <c r="P25" s="1034"/>
      <c r="Q25" s="1034"/>
      <c r="R25" s="1034"/>
      <c r="S25" s="1035"/>
    </row>
    <row r="26" spans="2:19" ht="12">
      <c r="B26" s="708"/>
      <c r="C26" s="713" t="s">
        <v>129</v>
      </c>
      <c r="D26" s="710"/>
      <c r="E26" s="710"/>
      <c r="F26" s="710"/>
      <c r="G26" s="714" t="e">
        <f>ROUND(G24*G25,2)</f>
        <v>#DIV/0!</v>
      </c>
      <c r="H26" s="647" t="e">
        <f>G26/'0 Úvod'!N19</f>
        <v>#DIV/0!</v>
      </c>
      <c r="I26" s="539"/>
      <c r="J26" s="727" t="s">
        <v>131</v>
      </c>
      <c r="K26" s="710"/>
      <c r="L26" s="710"/>
      <c r="M26" s="710"/>
      <c r="N26" s="710"/>
      <c r="O26" s="710"/>
      <c r="P26" s="710"/>
      <c r="Q26" s="710"/>
      <c r="R26" s="710"/>
      <c r="S26" s="728"/>
    </row>
    <row r="27" spans="2:19" ht="13.5" customHeight="1">
      <c r="B27" s="708"/>
      <c r="C27" s="713" t="s">
        <v>130</v>
      </c>
      <c r="D27" s="710"/>
      <c r="E27" s="710"/>
      <c r="F27" s="710"/>
      <c r="G27" s="715">
        <v>0.85</v>
      </c>
      <c r="H27" s="712"/>
      <c r="I27" s="539"/>
      <c r="J27" s="1024" t="s">
        <v>300</v>
      </c>
      <c r="K27" s="1025"/>
      <c r="L27" s="1025"/>
      <c r="M27" s="1025"/>
      <c r="N27" s="1025"/>
      <c r="O27" s="1025"/>
      <c r="P27" s="1025"/>
      <c r="Q27" s="1025"/>
      <c r="R27" s="1025"/>
      <c r="S27" s="1026"/>
    </row>
    <row r="28" spans="2:19" ht="12.75" thickBot="1">
      <c r="B28" s="716"/>
      <c r="C28" s="717" t="s">
        <v>189</v>
      </c>
      <c r="D28" s="718"/>
      <c r="E28" s="718"/>
      <c r="F28" s="718"/>
      <c r="G28" s="719" t="e">
        <f>FLOOR(G26*G27,1)</f>
        <v>#DIV/0!</v>
      </c>
      <c r="H28" s="720" t="e">
        <f>G28/'0 Úvod'!N19</f>
        <v>#DIV/0!</v>
      </c>
      <c r="I28" s="539"/>
      <c r="J28" s="1027"/>
      <c r="K28" s="1028"/>
      <c r="L28" s="1028"/>
      <c r="M28" s="1028"/>
      <c r="N28" s="1028"/>
      <c r="O28" s="1028"/>
      <c r="P28" s="1028"/>
      <c r="Q28" s="1028"/>
      <c r="R28" s="1028"/>
      <c r="S28" s="1029"/>
    </row>
    <row r="29" ht="12" thickBot="1"/>
    <row r="30" spans="2:8" ht="21.75" customHeight="1" thickBot="1">
      <c r="B30" s="721" t="s">
        <v>20</v>
      </c>
      <c r="C30" s="722" t="s">
        <v>165</v>
      </c>
      <c r="D30" s="722"/>
      <c r="E30" s="722"/>
      <c r="F30" s="722"/>
      <c r="G30" s="723" t="s">
        <v>4</v>
      </c>
      <c r="H30" s="724" t="s">
        <v>0</v>
      </c>
    </row>
    <row r="31" spans="2:8" ht="12.75" customHeight="1">
      <c r="B31" s="704"/>
      <c r="C31" s="705" t="s">
        <v>73</v>
      </c>
      <c r="D31" s="706"/>
      <c r="E31" s="706"/>
      <c r="F31" s="706"/>
      <c r="G31" s="725">
        <f>'1 Celkové investiční náklady'!E45</f>
        <v>0</v>
      </c>
      <c r="H31" s="707">
        <f>G31/'0 Úvod'!N19</f>
        <v>0</v>
      </c>
    </row>
    <row r="32" spans="2:8" ht="12">
      <c r="B32" s="708"/>
      <c r="C32" s="709" t="s">
        <v>188</v>
      </c>
      <c r="D32" s="710"/>
      <c r="E32" s="710"/>
      <c r="F32" s="710"/>
      <c r="G32" s="726" t="e">
        <f>G25</f>
        <v>#DIV/0!</v>
      </c>
      <c r="H32" s="647"/>
    </row>
    <row r="33" spans="2:11" ht="12">
      <c r="B33" s="708"/>
      <c r="C33" s="713" t="s">
        <v>129</v>
      </c>
      <c r="D33" s="710"/>
      <c r="E33" s="710"/>
      <c r="F33" s="710"/>
      <c r="G33" s="714" t="e">
        <f>ROUND(G31*G32,2)</f>
        <v>#DIV/0!</v>
      </c>
      <c r="H33" s="647" t="e">
        <f>G33/'0 Úvod'!N19</f>
        <v>#DIV/0!</v>
      </c>
      <c r="K33" s="663"/>
    </row>
    <row r="34" spans="2:11" ht="12">
      <c r="B34" s="708"/>
      <c r="C34" s="713" t="s">
        <v>130</v>
      </c>
      <c r="D34" s="710"/>
      <c r="E34" s="710"/>
      <c r="F34" s="710"/>
      <c r="G34" s="726">
        <f>G27</f>
        <v>0.85</v>
      </c>
      <c r="H34" s="647"/>
      <c r="K34" s="666"/>
    </row>
    <row r="35" spans="2:8" ht="12.75" thickBot="1">
      <c r="B35" s="716"/>
      <c r="C35" s="717" t="s">
        <v>189</v>
      </c>
      <c r="D35" s="718"/>
      <c r="E35" s="718"/>
      <c r="F35" s="718"/>
      <c r="G35" s="719" t="e">
        <f>ROUND(G33*G34,2)</f>
        <v>#DIV/0!</v>
      </c>
      <c r="H35" s="720" t="e">
        <f>G35/'0 Úvod'!N19</f>
        <v>#DIV/0!</v>
      </c>
    </row>
    <row r="36" ht="11.25">
      <c r="F36" s="667"/>
    </row>
    <row r="39" spans="9:14" ht="11.25">
      <c r="I39" s="551"/>
      <c r="L39" s="551"/>
      <c r="N39" s="55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P12:P13"/>
    <mergeCell ref="K12:K13"/>
    <mergeCell ref="L12:L13"/>
    <mergeCell ref="I12:I13"/>
    <mergeCell ref="E12:E13"/>
    <mergeCell ref="F12:F13"/>
    <mergeCell ref="G12:G13"/>
    <mergeCell ref="H12:H13"/>
    <mergeCell ref="J27:S28"/>
    <mergeCell ref="J24:S25"/>
    <mergeCell ref="J23:S23"/>
    <mergeCell ref="M12:M13"/>
    <mergeCell ref="R12:R13"/>
    <mergeCell ref="S12:S13"/>
    <mergeCell ref="J12:J13"/>
    <mergeCell ref="Q12:Q13"/>
    <mergeCell ref="N12:N13"/>
    <mergeCell ref="O12:O13"/>
    <mergeCell ref="S2:S3"/>
    <mergeCell ref="L2:L3"/>
    <mergeCell ref="M2:M3"/>
    <mergeCell ref="N2:N3"/>
    <mergeCell ref="O2:O3"/>
    <mergeCell ref="P2:P3"/>
    <mergeCell ref="Q2:Q3"/>
    <mergeCell ref="T2:T3"/>
    <mergeCell ref="U2:U3"/>
    <mergeCell ref="E2:E3"/>
    <mergeCell ref="F2:F3"/>
    <mergeCell ref="G2:G3"/>
    <mergeCell ref="R2:R3"/>
    <mergeCell ref="H2:H3"/>
    <mergeCell ref="I2:I3"/>
    <mergeCell ref="J2:J3"/>
    <mergeCell ref="K2:K3"/>
    <mergeCell ref="T12:T13"/>
    <mergeCell ref="U12:U13"/>
    <mergeCell ref="V12:V13"/>
    <mergeCell ref="W12:W13"/>
    <mergeCell ref="Y12:Y13"/>
    <mergeCell ref="V2:V3"/>
    <mergeCell ref="W2:W3"/>
    <mergeCell ref="Z2:Z3"/>
    <mergeCell ref="X2:X3"/>
    <mergeCell ref="Y2:Y3"/>
    <mergeCell ref="X12:X13"/>
    <mergeCell ref="AB2:AB3"/>
    <mergeCell ref="AC2:AC3"/>
    <mergeCell ref="Z12:Z13"/>
    <mergeCell ref="AA12:AA13"/>
    <mergeCell ref="AB12:AB13"/>
    <mergeCell ref="AC12:AC13"/>
    <mergeCell ref="AA2:AA3"/>
  </mergeCells>
  <printOptions/>
  <pageMargins left="0.3937007874015748" right="0.1968503937007874" top="0.984251968503937" bottom="0.7874015748031497" header="0.3937007874015748" footer="0.3937007874015748"/>
  <pageSetup fitToHeight="0" fitToWidth="1" horizontalDpi="600" verticalDpi="600" orientation="landscape" paperSize="9" scale="43" r:id="rId3"/>
  <headerFooter alignWithMargins="0">
    <oddFooter>&amp;L&amp;A&amp;C15.9.2010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AD6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5.7109375" style="12" customWidth="1"/>
    <col min="3" max="3" width="42.00390625" style="12" customWidth="1"/>
    <col min="4" max="4" width="12.7109375" style="12" customWidth="1"/>
    <col min="5" max="29" width="10.7109375" style="12" customWidth="1"/>
    <col min="30" max="16384" width="11.421875" style="12" customWidth="1"/>
  </cols>
  <sheetData>
    <row r="1" ht="12.75" customHeight="1" thickBot="1"/>
    <row r="2" spans="2:30" ht="12.75">
      <c r="B2" s="747" t="s">
        <v>21</v>
      </c>
      <c r="C2" s="748" t="s">
        <v>213</v>
      </c>
      <c r="D2" s="749">
        <f>'0 Úvod'!D19</f>
        <v>2014</v>
      </c>
      <c r="E2" s="988">
        <f>'0 Úvod'!G19</f>
        <v>2014</v>
      </c>
      <c r="F2" s="980">
        <f aca="true" t="shared" si="0" ref="F2:AC2">E2+1</f>
        <v>2015</v>
      </c>
      <c r="G2" s="980">
        <f t="shared" si="0"/>
        <v>2016</v>
      </c>
      <c r="H2" s="980">
        <f t="shared" si="0"/>
        <v>2017</v>
      </c>
      <c r="I2" s="980">
        <f aca="true" t="shared" si="1" ref="I2:S2">H2+1</f>
        <v>2018</v>
      </c>
      <c r="J2" s="980">
        <f t="shared" si="1"/>
        <v>2019</v>
      </c>
      <c r="K2" s="980">
        <f t="shared" si="1"/>
        <v>2020</v>
      </c>
      <c r="L2" s="980">
        <f t="shared" si="1"/>
        <v>2021</v>
      </c>
      <c r="M2" s="980">
        <f t="shared" si="1"/>
        <v>2022</v>
      </c>
      <c r="N2" s="980">
        <f t="shared" si="1"/>
        <v>2023</v>
      </c>
      <c r="O2" s="980">
        <f t="shared" si="1"/>
        <v>2024</v>
      </c>
      <c r="P2" s="980">
        <f t="shared" si="1"/>
        <v>2025</v>
      </c>
      <c r="Q2" s="980">
        <f t="shared" si="1"/>
        <v>2026</v>
      </c>
      <c r="R2" s="980">
        <f t="shared" si="1"/>
        <v>2027</v>
      </c>
      <c r="S2" s="980">
        <f t="shared" si="1"/>
        <v>2028</v>
      </c>
      <c r="T2" s="980">
        <f t="shared" si="0"/>
        <v>2029</v>
      </c>
      <c r="U2" s="980">
        <f t="shared" si="0"/>
        <v>2030</v>
      </c>
      <c r="V2" s="980">
        <f t="shared" si="0"/>
        <v>2031</v>
      </c>
      <c r="W2" s="980">
        <f t="shared" si="0"/>
        <v>2032</v>
      </c>
      <c r="X2" s="980">
        <f t="shared" si="0"/>
        <v>2033</v>
      </c>
      <c r="Y2" s="980">
        <f t="shared" si="0"/>
        <v>2034</v>
      </c>
      <c r="Z2" s="980">
        <f t="shared" si="0"/>
        <v>2035</v>
      </c>
      <c r="AA2" s="980">
        <f t="shared" si="0"/>
        <v>2036</v>
      </c>
      <c r="AB2" s="980">
        <f t="shared" si="0"/>
        <v>2037</v>
      </c>
      <c r="AC2" s="992">
        <f t="shared" si="0"/>
        <v>2038</v>
      </c>
      <c r="AD2" s="1043" t="s">
        <v>133</v>
      </c>
    </row>
    <row r="3" spans="2:30" ht="13.5" thickBot="1">
      <c r="B3" s="750" t="s">
        <v>25</v>
      </c>
      <c r="C3" s="751" t="s">
        <v>172</v>
      </c>
      <c r="D3" s="752" t="s">
        <v>83</v>
      </c>
      <c r="E3" s="1011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968"/>
      <c r="AD3" s="1044"/>
    </row>
    <row r="4" spans="2:30" ht="12.75">
      <c r="B4" s="119"/>
      <c r="C4" s="115" t="s">
        <v>137</v>
      </c>
      <c r="D4" s="753">
        <f aca="true" t="shared" si="2" ref="D4:D15">SUM(E4:AC4,E19:AC19)</f>
        <v>0</v>
      </c>
      <c r="E4" s="729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1"/>
      <c r="U4" s="731"/>
      <c r="V4" s="731"/>
      <c r="W4" s="731"/>
      <c r="X4" s="731"/>
      <c r="Y4" s="731"/>
      <c r="Z4" s="731"/>
      <c r="AA4" s="731"/>
      <c r="AB4" s="731"/>
      <c r="AC4" s="732"/>
      <c r="AD4" s="783"/>
    </row>
    <row r="5" spans="2:30" ht="12.75">
      <c r="B5" s="119"/>
      <c r="C5" s="119" t="s">
        <v>138</v>
      </c>
      <c r="D5" s="754">
        <f t="shared" si="2"/>
        <v>0</v>
      </c>
      <c r="E5" s="733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5"/>
      <c r="U5" s="735"/>
      <c r="V5" s="735"/>
      <c r="W5" s="735"/>
      <c r="X5" s="735"/>
      <c r="Y5" s="735"/>
      <c r="Z5" s="735"/>
      <c r="AA5" s="735"/>
      <c r="AB5" s="735"/>
      <c r="AC5" s="736"/>
      <c r="AD5" s="784"/>
    </row>
    <row r="6" spans="2:30" ht="12.75">
      <c r="B6" s="755"/>
      <c r="C6" s="756" t="s">
        <v>139</v>
      </c>
      <c r="D6" s="757">
        <f t="shared" si="2"/>
        <v>0</v>
      </c>
      <c r="E6" s="774">
        <f aca="true" t="shared" si="3" ref="E6:AC6">E5+E4</f>
        <v>0</v>
      </c>
      <c r="F6" s="775">
        <f t="shared" si="3"/>
        <v>0</v>
      </c>
      <c r="G6" s="775">
        <f t="shared" si="3"/>
        <v>0</v>
      </c>
      <c r="H6" s="775">
        <f t="shared" si="3"/>
        <v>0</v>
      </c>
      <c r="I6" s="775">
        <f t="shared" si="3"/>
        <v>0</v>
      </c>
      <c r="J6" s="775">
        <f t="shared" si="3"/>
        <v>0</v>
      </c>
      <c r="K6" s="775">
        <f t="shared" si="3"/>
        <v>0</v>
      </c>
      <c r="L6" s="775">
        <f t="shared" si="3"/>
        <v>0</v>
      </c>
      <c r="M6" s="775">
        <f t="shared" si="3"/>
        <v>0</v>
      </c>
      <c r="N6" s="775">
        <f t="shared" si="3"/>
        <v>0</v>
      </c>
      <c r="O6" s="775">
        <f>O5+O4</f>
        <v>0</v>
      </c>
      <c r="P6" s="775">
        <f t="shared" si="3"/>
        <v>0</v>
      </c>
      <c r="Q6" s="775">
        <f t="shared" si="3"/>
        <v>0</v>
      </c>
      <c r="R6" s="775">
        <f t="shared" si="3"/>
        <v>0</v>
      </c>
      <c r="S6" s="775">
        <f t="shared" si="3"/>
        <v>0</v>
      </c>
      <c r="T6" s="775">
        <f t="shared" si="3"/>
        <v>0</v>
      </c>
      <c r="U6" s="775">
        <f t="shared" si="3"/>
        <v>0</v>
      </c>
      <c r="V6" s="775">
        <f t="shared" si="3"/>
        <v>0</v>
      </c>
      <c r="W6" s="775">
        <f t="shared" si="3"/>
        <v>0</v>
      </c>
      <c r="X6" s="775">
        <f t="shared" si="3"/>
        <v>0</v>
      </c>
      <c r="Y6" s="775">
        <f t="shared" si="3"/>
        <v>0</v>
      </c>
      <c r="Z6" s="775">
        <f t="shared" si="3"/>
        <v>0</v>
      </c>
      <c r="AA6" s="775">
        <f t="shared" si="3"/>
        <v>0</v>
      </c>
      <c r="AB6" s="775">
        <f t="shared" si="3"/>
        <v>0</v>
      </c>
      <c r="AC6" s="776">
        <f t="shared" si="3"/>
        <v>0</v>
      </c>
      <c r="AD6" s="785"/>
    </row>
    <row r="7" spans="2:30" ht="12.75">
      <c r="B7" s="758"/>
      <c r="C7" s="759" t="s">
        <v>141</v>
      </c>
      <c r="D7" s="760">
        <f t="shared" si="2"/>
        <v>0</v>
      </c>
      <c r="E7" s="733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5"/>
      <c r="U7" s="735"/>
      <c r="V7" s="735"/>
      <c r="W7" s="735"/>
      <c r="X7" s="735"/>
      <c r="Y7" s="735"/>
      <c r="Z7" s="735"/>
      <c r="AA7" s="735"/>
      <c r="AB7" s="735"/>
      <c r="AC7" s="736"/>
      <c r="AD7" s="784"/>
    </row>
    <row r="8" spans="2:30" ht="12.75">
      <c r="B8" s="119"/>
      <c r="C8" s="761" t="s">
        <v>142</v>
      </c>
      <c r="D8" s="762">
        <f t="shared" si="2"/>
        <v>0</v>
      </c>
      <c r="E8" s="733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6"/>
      <c r="AD8" s="784"/>
    </row>
    <row r="9" spans="2:30" ht="12.75">
      <c r="B9" s="763"/>
      <c r="C9" s="764" t="s">
        <v>140</v>
      </c>
      <c r="D9" s="765">
        <f t="shared" si="2"/>
        <v>0</v>
      </c>
      <c r="E9" s="774">
        <f aca="true" t="shared" si="4" ref="E9:AC9">E8+E7</f>
        <v>0</v>
      </c>
      <c r="F9" s="775">
        <f t="shared" si="4"/>
        <v>0</v>
      </c>
      <c r="G9" s="775">
        <f t="shared" si="4"/>
        <v>0</v>
      </c>
      <c r="H9" s="775">
        <f t="shared" si="4"/>
        <v>0</v>
      </c>
      <c r="I9" s="775">
        <f t="shared" si="4"/>
        <v>0</v>
      </c>
      <c r="J9" s="775">
        <f t="shared" si="4"/>
        <v>0</v>
      </c>
      <c r="K9" s="775">
        <f t="shared" si="4"/>
        <v>0</v>
      </c>
      <c r="L9" s="775">
        <f t="shared" si="4"/>
        <v>0</v>
      </c>
      <c r="M9" s="775">
        <f t="shared" si="4"/>
        <v>0</v>
      </c>
      <c r="N9" s="775">
        <f t="shared" si="4"/>
        <v>0</v>
      </c>
      <c r="O9" s="775">
        <f t="shared" si="4"/>
        <v>0</v>
      </c>
      <c r="P9" s="775">
        <f t="shared" si="4"/>
        <v>0</v>
      </c>
      <c r="Q9" s="775">
        <f t="shared" si="4"/>
        <v>0</v>
      </c>
      <c r="R9" s="775">
        <f t="shared" si="4"/>
        <v>0</v>
      </c>
      <c r="S9" s="775">
        <f t="shared" si="4"/>
        <v>0</v>
      </c>
      <c r="T9" s="775">
        <f t="shared" si="4"/>
        <v>0</v>
      </c>
      <c r="U9" s="775">
        <f t="shared" si="4"/>
        <v>0</v>
      </c>
      <c r="V9" s="775">
        <f t="shared" si="4"/>
        <v>0</v>
      </c>
      <c r="W9" s="775">
        <f t="shared" si="4"/>
        <v>0</v>
      </c>
      <c r="X9" s="775">
        <f t="shared" si="4"/>
        <v>0</v>
      </c>
      <c r="Y9" s="775">
        <f t="shared" si="4"/>
        <v>0</v>
      </c>
      <c r="Z9" s="775">
        <f t="shared" si="4"/>
        <v>0</v>
      </c>
      <c r="AA9" s="775">
        <f t="shared" si="4"/>
        <v>0</v>
      </c>
      <c r="AB9" s="775">
        <f t="shared" si="4"/>
        <v>0</v>
      </c>
      <c r="AC9" s="776">
        <f t="shared" si="4"/>
        <v>0</v>
      </c>
      <c r="AD9" s="785"/>
    </row>
    <row r="10" spans="2:30" ht="13.5" thickBot="1">
      <c r="B10" s="119"/>
      <c r="C10" s="119" t="s">
        <v>143</v>
      </c>
      <c r="D10" s="762">
        <f t="shared" si="2"/>
        <v>0</v>
      </c>
      <c r="E10" s="737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9"/>
      <c r="AD10" s="786"/>
    </row>
    <row r="11" spans="2:30" ht="13.5" thickBot="1">
      <c r="B11" s="766"/>
      <c r="C11" s="767" t="s">
        <v>190</v>
      </c>
      <c r="D11" s="768">
        <f t="shared" si="2"/>
        <v>0</v>
      </c>
      <c r="E11" s="774">
        <f>E6+E9+E10</f>
        <v>0</v>
      </c>
      <c r="F11" s="775">
        <f>F6+F9+F10</f>
        <v>0</v>
      </c>
      <c r="G11" s="775">
        <f aca="true" t="shared" si="5" ref="G11:AC11">G6+G9+G10</f>
        <v>0</v>
      </c>
      <c r="H11" s="775">
        <f t="shared" si="5"/>
        <v>0</v>
      </c>
      <c r="I11" s="775">
        <f t="shared" si="5"/>
        <v>0</v>
      </c>
      <c r="J11" s="775">
        <f t="shared" si="5"/>
        <v>0</v>
      </c>
      <c r="K11" s="775">
        <f t="shared" si="5"/>
        <v>0</v>
      </c>
      <c r="L11" s="775">
        <f t="shared" si="5"/>
        <v>0</v>
      </c>
      <c r="M11" s="775">
        <f t="shared" si="5"/>
        <v>0</v>
      </c>
      <c r="N11" s="775">
        <f t="shared" si="5"/>
        <v>0</v>
      </c>
      <c r="O11" s="775">
        <f t="shared" si="5"/>
        <v>0</v>
      </c>
      <c r="P11" s="775">
        <f t="shared" si="5"/>
        <v>0</v>
      </c>
      <c r="Q11" s="775">
        <f t="shared" si="5"/>
        <v>0</v>
      </c>
      <c r="R11" s="775">
        <f t="shared" si="5"/>
        <v>0</v>
      </c>
      <c r="S11" s="775">
        <f t="shared" si="5"/>
        <v>0</v>
      </c>
      <c r="T11" s="775">
        <f t="shared" si="5"/>
        <v>0</v>
      </c>
      <c r="U11" s="775">
        <f t="shared" si="5"/>
        <v>0</v>
      </c>
      <c r="V11" s="775">
        <f t="shared" si="5"/>
        <v>0</v>
      </c>
      <c r="W11" s="775">
        <f t="shared" si="5"/>
        <v>0</v>
      </c>
      <c r="X11" s="775">
        <f t="shared" si="5"/>
        <v>0</v>
      </c>
      <c r="Y11" s="775">
        <f t="shared" si="5"/>
        <v>0</v>
      </c>
      <c r="Z11" s="775">
        <f t="shared" si="5"/>
        <v>0</v>
      </c>
      <c r="AA11" s="775">
        <f t="shared" si="5"/>
        <v>0</v>
      </c>
      <c r="AB11" s="775">
        <f t="shared" si="5"/>
        <v>0</v>
      </c>
      <c r="AC11" s="776">
        <f t="shared" si="5"/>
        <v>0</v>
      </c>
      <c r="AD11" s="787" t="str">
        <f>IF(D11='1 Celkové investiční náklady'!F11,"OK","CHYBA!")</f>
        <v>OK</v>
      </c>
    </row>
    <row r="12" spans="2:30" ht="12.75">
      <c r="B12" s="769"/>
      <c r="C12" s="770" t="s">
        <v>209</v>
      </c>
      <c r="D12" s="341">
        <f t="shared" si="2"/>
        <v>0</v>
      </c>
      <c r="E12" s="740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  <c r="AA12" s="741"/>
      <c r="AB12" s="741"/>
      <c r="AC12" s="742"/>
      <c r="AD12" s="788"/>
    </row>
    <row r="13" spans="2:30" ht="12.75">
      <c r="B13" s="769"/>
      <c r="C13" s="770" t="s">
        <v>210</v>
      </c>
      <c r="D13" s="341">
        <f t="shared" si="2"/>
        <v>0</v>
      </c>
      <c r="E13" s="740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2"/>
      <c r="AD13" s="789"/>
    </row>
    <row r="14" spans="2:30" ht="13.5" thickBot="1">
      <c r="B14" s="763"/>
      <c r="C14" s="771" t="s">
        <v>211</v>
      </c>
      <c r="D14" s="765">
        <f t="shared" si="2"/>
        <v>0</v>
      </c>
      <c r="E14" s="777">
        <f>E12+E13</f>
        <v>0</v>
      </c>
      <c r="F14" s="778">
        <f>F12+F13</f>
        <v>0</v>
      </c>
      <c r="G14" s="778">
        <f>G12+G13</f>
        <v>0</v>
      </c>
      <c r="H14" s="778">
        <f>H12+H13</f>
        <v>0</v>
      </c>
      <c r="I14" s="778">
        <f aca="true" t="shared" si="6" ref="I14:AC14">I12+I13</f>
        <v>0</v>
      </c>
      <c r="J14" s="778">
        <f t="shared" si="6"/>
        <v>0</v>
      </c>
      <c r="K14" s="778">
        <f t="shared" si="6"/>
        <v>0</v>
      </c>
      <c r="L14" s="778">
        <f t="shared" si="6"/>
        <v>0</v>
      </c>
      <c r="M14" s="778">
        <f t="shared" si="6"/>
        <v>0</v>
      </c>
      <c r="N14" s="778">
        <f t="shared" si="6"/>
        <v>0</v>
      </c>
      <c r="O14" s="778">
        <f t="shared" si="6"/>
        <v>0</v>
      </c>
      <c r="P14" s="778">
        <f t="shared" si="6"/>
        <v>0</v>
      </c>
      <c r="Q14" s="778">
        <f t="shared" si="6"/>
        <v>0</v>
      </c>
      <c r="R14" s="778">
        <f t="shared" si="6"/>
        <v>0</v>
      </c>
      <c r="S14" s="778">
        <f t="shared" si="6"/>
        <v>0</v>
      </c>
      <c r="T14" s="778">
        <f t="shared" si="6"/>
        <v>0</v>
      </c>
      <c r="U14" s="778">
        <f t="shared" si="6"/>
        <v>0</v>
      </c>
      <c r="V14" s="778">
        <f t="shared" si="6"/>
        <v>0</v>
      </c>
      <c r="W14" s="778">
        <f t="shared" si="6"/>
        <v>0</v>
      </c>
      <c r="X14" s="778">
        <f t="shared" si="6"/>
        <v>0</v>
      </c>
      <c r="Y14" s="778">
        <f t="shared" si="6"/>
        <v>0</v>
      </c>
      <c r="Z14" s="778">
        <f t="shared" si="6"/>
        <v>0</v>
      </c>
      <c r="AA14" s="778">
        <f t="shared" si="6"/>
        <v>0</v>
      </c>
      <c r="AB14" s="778">
        <f t="shared" si="6"/>
        <v>0</v>
      </c>
      <c r="AC14" s="779">
        <f t="shared" si="6"/>
        <v>0</v>
      </c>
      <c r="AD14" s="790"/>
    </row>
    <row r="15" spans="2:30" ht="13.5" thickBot="1">
      <c r="B15" s="772"/>
      <c r="C15" s="155" t="s">
        <v>144</v>
      </c>
      <c r="D15" s="773">
        <f t="shared" si="2"/>
        <v>0</v>
      </c>
      <c r="E15" s="780">
        <f>E11+E14</f>
        <v>0</v>
      </c>
      <c r="F15" s="781">
        <f>F11+F14</f>
        <v>0</v>
      </c>
      <c r="G15" s="781">
        <f>G11+G14</f>
        <v>0</v>
      </c>
      <c r="H15" s="781">
        <f>H11+H14</f>
        <v>0</v>
      </c>
      <c r="I15" s="781">
        <f aca="true" t="shared" si="7" ref="I15:AC15">I11+I14</f>
        <v>0</v>
      </c>
      <c r="J15" s="781">
        <f t="shared" si="7"/>
        <v>0</v>
      </c>
      <c r="K15" s="781">
        <f t="shared" si="7"/>
        <v>0</v>
      </c>
      <c r="L15" s="781">
        <f t="shared" si="7"/>
        <v>0</v>
      </c>
      <c r="M15" s="781">
        <f t="shared" si="7"/>
        <v>0</v>
      </c>
      <c r="N15" s="781">
        <f t="shared" si="7"/>
        <v>0</v>
      </c>
      <c r="O15" s="781">
        <f t="shared" si="7"/>
        <v>0</v>
      </c>
      <c r="P15" s="781">
        <f t="shared" si="7"/>
        <v>0</v>
      </c>
      <c r="Q15" s="781">
        <f t="shared" si="7"/>
        <v>0</v>
      </c>
      <c r="R15" s="781">
        <f t="shared" si="7"/>
        <v>0</v>
      </c>
      <c r="S15" s="781">
        <f t="shared" si="7"/>
        <v>0</v>
      </c>
      <c r="T15" s="781">
        <f t="shared" si="7"/>
        <v>0</v>
      </c>
      <c r="U15" s="781">
        <f t="shared" si="7"/>
        <v>0</v>
      </c>
      <c r="V15" s="781">
        <f t="shared" si="7"/>
        <v>0</v>
      </c>
      <c r="W15" s="781">
        <f t="shared" si="7"/>
        <v>0</v>
      </c>
      <c r="X15" s="781">
        <f t="shared" si="7"/>
        <v>0</v>
      </c>
      <c r="Y15" s="781">
        <f t="shared" si="7"/>
        <v>0</v>
      </c>
      <c r="Z15" s="781">
        <f t="shared" si="7"/>
        <v>0</v>
      </c>
      <c r="AA15" s="781">
        <f t="shared" si="7"/>
        <v>0</v>
      </c>
      <c r="AB15" s="781">
        <f t="shared" si="7"/>
        <v>0</v>
      </c>
      <c r="AC15" s="782">
        <f t="shared" si="7"/>
        <v>0</v>
      </c>
      <c r="AD15" s="787" t="str">
        <f>IF(D15='1 Celkové investiční náklady'!F13,"OK","CHYBA!")</f>
        <v>OK</v>
      </c>
    </row>
    <row r="16" ht="13.5" thickBot="1">
      <c r="D16" s="743"/>
    </row>
    <row r="17" spans="2:29" ht="12.75">
      <c r="B17" s="614" t="s">
        <v>21</v>
      </c>
      <c r="C17" s="791" t="s">
        <v>135</v>
      </c>
      <c r="D17" s="749">
        <f>D2</f>
        <v>2014</v>
      </c>
      <c r="E17" s="988">
        <f>AC2+1</f>
        <v>2039</v>
      </c>
      <c r="F17" s="980">
        <f aca="true" t="shared" si="8" ref="F17:AC17">E17+1</f>
        <v>2040</v>
      </c>
      <c r="G17" s="980">
        <f t="shared" si="8"/>
        <v>2041</v>
      </c>
      <c r="H17" s="980">
        <f t="shared" si="8"/>
        <v>2042</v>
      </c>
      <c r="I17" s="980">
        <f aca="true" t="shared" si="9" ref="I17:S17">H17+1</f>
        <v>2043</v>
      </c>
      <c r="J17" s="980">
        <f t="shared" si="9"/>
        <v>2044</v>
      </c>
      <c r="K17" s="980">
        <f t="shared" si="9"/>
        <v>2045</v>
      </c>
      <c r="L17" s="980">
        <f t="shared" si="9"/>
        <v>2046</v>
      </c>
      <c r="M17" s="980">
        <f t="shared" si="9"/>
        <v>2047</v>
      </c>
      <c r="N17" s="980">
        <f t="shared" si="9"/>
        <v>2048</v>
      </c>
      <c r="O17" s="980">
        <f t="shared" si="9"/>
        <v>2049</v>
      </c>
      <c r="P17" s="980">
        <f t="shared" si="9"/>
        <v>2050</v>
      </c>
      <c r="Q17" s="980">
        <f t="shared" si="9"/>
        <v>2051</v>
      </c>
      <c r="R17" s="980">
        <f t="shared" si="9"/>
        <v>2052</v>
      </c>
      <c r="S17" s="980">
        <f t="shared" si="9"/>
        <v>2053</v>
      </c>
      <c r="T17" s="980">
        <f t="shared" si="8"/>
        <v>2054</v>
      </c>
      <c r="U17" s="980">
        <f t="shared" si="8"/>
        <v>2055</v>
      </c>
      <c r="V17" s="980">
        <f t="shared" si="8"/>
        <v>2056</v>
      </c>
      <c r="W17" s="980">
        <f t="shared" si="8"/>
        <v>2057</v>
      </c>
      <c r="X17" s="980">
        <f t="shared" si="8"/>
        <v>2058</v>
      </c>
      <c r="Y17" s="980">
        <f t="shared" si="8"/>
        <v>2059</v>
      </c>
      <c r="Z17" s="980">
        <f t="shared" si="8"/>
        <v>2060</v>
      </c>
      <c r="AA17" s="980">
        <f t="shared" si="8"/>
        <v>2061</v>
      </c>
      <c r="AB17" s="980">
        <f t="shared" si="8"/>
        <v>2062</v>
      </c>
      <c r="AC17" s="992">
        <f t="shared" si="8"/>
        <v>2063</v>
      </c>
    </row>
    <row r="18" spans="2:29" ht="13.5" thickBot="1">
      <c r="B18" s="111" t="s">
        <v>26</v>
      </c>
      <c r="C18" s="792" t="s">
        <v>172</v>
      </c>
      <c r="D18" s="752"/>
      <c r="E18" s="1011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968"/>
    </row>
    <row r="19" spans="2:29" ht="12.75">
      <c r="B19" s="119"/>
      <c r="C19" s="116" t="s">
        <v>137</v>
      </c>
      <c r="D19" s="753"/>
      <c r="E19" s="729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1"/>
      <c r="U19" s="731"/>
      <c r="V19" s="731"/>
      <c r="W19" s="731"/>
      <c r="X19" s="731"/>
      <c r="Y19" s="731"/>
      <c r="Z19" s="731"/>
      <c r="AA19" s="731"/>
      <c r="AB19" s="731"/>
      <c r="AC19" s="732"/>
    </row>
    <row r="20" spans="2:29" ht="12.75">
      <c r="B20" s="119"/>
      <c r="C20" s="120" t="s">
        <v>138</v>
      </c>
      <c r="D20" s="754"/>
      <c r="E20" s="733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5"/>
      <c r="U20" s="735"/>
      <c r="V20" s="735"/>
      <c r="W20" s="735"/>
      <c r="X20" s="735"/>
      <c r="Y20" s="735"/>
      <c r="Z20" s="735"/>
      <c r="AA20" s="735"/>
      <c r="AB20" s="735"/>
      <c r="AC20" s="736"/>
    </row>
    <row r="21" spans="2:29" ht="12.75">
      <c r="B21" s="769"/>
      <c r="C21" s="793" t="s">
        <v>139</v>
      </c>
      <c r="D21" s="341"/>
      <c r="E21" s="774">
        <f aca="true" t="shared" si="10" ref="E21:AC21">E20+E19</f>
        <v>0</v>
      </c>
      <c r="F21" s="775">
        <f t="shared" si="10"/>
        <v>0</v>
      </c>
      <c r="G21" s="775">
        <f t="shared" si="10"/>
        <v>0</v>
      </c>
      <c r="H21" s="775">
        <f t="shared" si="10"/>
        <v>0</v>
      </c>
      <c r="I21" s="775">
        <f t="shared" si="10"/>
        <v>0</v>
      </c>
      <c r="J21" s="775">
        <f t="shared" si="10"/>
        <v>0</v>
      </c>
      <c r="K21" s="775">
        <f t="shared" si="10"/>
        <v>0</v>
      </c>
      <c r="L21" s="775">
        <f t="shared" si="10"/>
        <v>0</v>
      </c>
      <c r="M21" s="775">
        <f t="shared" si="10"/>
        <v>0</v>
      </c>
      <c r="N21" s="775">
        <f t="shared" si="10"/>
        <v>0</v>
      </c>
      <c r="O21" s="775">
        <f t="shared" si="10"/>
        <v>0</v>
      </c>
      <c r="P21" s="775">
        <f t="shared" si="10"/>
        <v>0</v>
      </c>
      <c r="Q21" s="775">
        <f t="shared" si="10"/>
        <v>0</v>
      </c>
      <c r="R21" s="775">
        <f t="shared" si="10"/>
        <v>0</v>
      </c>
      <c r="S21" s="775">
        <f t="shared" si="10"/>
        <v>0</v>
      </c>
      <c r="T21" s="775">
        <f t="shared" si="10"/>
        <v>0</v>
      </c>
      <c r="U21" s="775">
        <f t="shared" si="10"/>
        <v>0</v>
      </c>
      <c r="V21" s="775">
        <f t="shared" si="10"/>
        <v>0</v>
      </c>
      <c r="W21" s="775">
        <f t="shared" si="10"/>
        <v>0</v>
      </c>
      <c r="X21" s="775">
        <f t="shared" si="10"/>
        <v>0</v>
      </c>
      <c r="Y21" s="775">
        <f t="shared" si="10"/>
        <v>0</v>
      </c>
      <c r="Z21" s="775">
        <f t="shared" si="10"/>
        <v>0</v>
      </c>
      <c r="AA21" s="775">
        <f t="shared" si="10"/>
        <v>0</v>
      </c>
      <c r="AB21" s="775">
        <f t="shared" si="10"/>
        <v>0</v>
      </c>
      <c r="AC21" s="776">
        <f t="shared" si="10"/>
        <v>0</v>
      </c>
    </row>
    <row r="22" spans="2:29" ht="12.75">
      <c r="B22" s="758"/>
      <c r="C22" s="794" t="s">
        <v>141</v>
      </c>
      <c r="D22" s="760"/>
      <c r="E22" s="733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5"/>
      <c r="U22" s="735"/>
      <c r="V22" s="735"/>
      <c r="W22" s="735"/>
      <c r="X22" s="735"/>
      <c r="Y22" s="735"/>
      <c r="Z22" s="735"/>
      <c r="AA22" s="735"/>
      <c r="AB22" s="735"/>
      <c r="AC22" s="736"/>
    </row>
    <row r="23" spans="2:29" ht="12.75">
      <c r="B23" s="119"/>
      <c r="C23" s="337" t="s">
        <v>142</v>
      </c>
      <c r="D23" s="762"/>
      <c r="E23" s="733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6"/>
    </row>
    <row r="24" spans="2:29" ht="12.75">
      <c r="B24" s="763"/>
      <c r="C24" s="795" t="s">
        <v>140</v>
      </c>
      <c r="D24" s="765"/>
      <c r="E24" s="774">
        <f aca="true" t="shared" si="11" ref="E24:AC24">E23+E22</f>
        <v>0</v>
      </c>
      <c r="F24" s="775">
        <f t="shared" si="11"/>
        <v>0</v>
      </c>
      <c r="G24" s="775">
        <f t="shared" si="11"/>
        <v>0</v>
      </c>
      <c r="H24" s="775">
        <f t="shared" si="11"/>
        <v>0</v>
      </c>
      <c r="I24" s="775">
        <f t="shared" si="11"/>
        <v>0</v>
      </c>
      <c r="J24" s="775">
        <f t="shared" si="11"/>
        <v>0</v>
      </c>
      <c r="K24" s="775">
        <f t="shared" si="11"/>
        <v>0</v>
      </c>
      <c r="L24" s="775">
        <f t="shared" si="11"/>
        <v>0</v>
      </c>
      <c r="M24" s="775">
        <f t="shared" si="11"/>
        <v>0</v>
      </c>
      <c r="N24" s="775">
        <f t="shared" si="11"/>
        <v>0</v>
      </c>
      <c r="O24" s="775">
        <f t="shared" si="11"/>
        <v>0</v>
      </c>
      <c r="P24" s="775">
        <f t="shared" si="11"/>
        <v>0</v>
      </c>
      <c r="Q24" s="775">
        <f t="shared" si="11"/>
        <v>0</v>
      </c>
      <c r="R24" s="775">
        <f t="shared" si="11"/>
        <v>0</v>
      </c>
      <c r="S24" s="775">
        <f t="shared" si="11"/>
        <v>0</v>
      </c>
      <c r="T24" s="775">
        <f t="shared" si="11"/>
        <v>0</v>
      </c>
      <c r="U24" s="775">
        <f t="shared" si="11"/>
        <v>0</v>
      </c>
      <c r="V24" s="775">
        <f t="shared" si="11"/>
        <v>0</v>
      </c>
      <c r="W24" s="775">
        <f t="shared" si="11"/>
        <v>0</v>
      </c>
      <c r="X24" s="775">
        <f t="shared" si="11"/>
        <v>0</v>
      </c>
      <c r="Y24" s="775">
        <f t="shared" si="11"/>
        <v>0</v>
      </c>
      <c r="Z24" s="775">
        <f t="shared" si="11"/>
        <v>0</v>
      </c>
      <c r="AA24" s="775">
        <f t="shared" si="11"/>
        <v>0</v>
      </c>
      <c r="AB24" s="775">
        <f t="shared" si="11"/>
        <v>0</v>
      </c>
      <c r="AC24" s="776">
        <f t="shared" si="11"/>
        <v>0</v>
      </c>
    </row>
    <row r="25" spans="2:29" ht="13.5" thickBot="1">
      <c r="B25" s="119"/>
      <c r="C25" s="120" t="s">
        <v>143</v>
      </c>
      <c r="D25" s="762"/>
      <c r="E25" s="737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9"/>
    </row>
    <row r="26" spans="2:29" ht="12.75">
      <c r="B26" s="796"/>
      <c r="C26" s="797" t="s">
        <v>190</v>
      </c>
      <c r="D26" s="798"/>
      <c r="E26" s="774">
        <f aca="true" t="shared" si="12" ref="E26:AC26">E21+E24+E25</f>
        <v>0</v>
      </c>
      <c r="F26" s="775">
        <f t="shared" si="12"/>
        <v>0</v>
      </c>
      <c r="G26" s="775">
        <f t="shared" si="12"/>
        <v>0</v>
      </c>
      <c r="H26" s="775">
        <f t="shared" si="12"/>
        <v>0</v>
      </c>
      <c r="I26" s="775">
        <f t="shared" si="12"/>
        <v>0</v>
      </c>
      <c r="J26" s="775">
        <f t="shared" si="12"/>
        <v>0</v>
      </c>
      <c r="K26" s="775">
        <f t="shared" si="12"/>
        <v>0</v>
      </c>
      <c r="L26" s="775">
        <f t="shared" si="12"/>
        <v>0</v>
      </c>
      <c r="M26" s="775">
        <f t="shared" si="12"/>
        <v>0</v>
      </c>
      <c r="N26" s="775">
        <f t="shared" si="12"/>
        <v>0</v>
      </c>
      <c r="O26" s="775">
        <f t="shared" si="12"/>
        <v>0</v>
      </c>
      <c r="P26" s="775">
        <f t="shared" si="12"/>
        <v>0</v>
      </c>
      <c r="Q26" s="775">
        <f t="shared" si="12"/>
        <v>0</v>
      </c>
      <c r="R26" s="775">
        <f t="shared" si="12"/>
        <v>0</v>
      </c>
      <c r="S26" s="775">
        <f t="shared" si="12"/>
        <v>0</v>
      </c>
      <c r="T26" s="775">
        <f t="shared" si="12"/>
        <v>0</v>
      </c>
      <c r="U26" s="775">
        <f t="shared" si="12"/>
        <v>0</v>
      </c>
      <c r="V26" s="775">
        <f t="shared" si="12"/>
        <v>0</v>
      </c>
      <c r="W26" s="775">
        <f t="shared" si="12"/>
        <v>0</v>
      </c>
      <c r="X26" s="775">
        <f t="shared" si="12"/>
        <v>0</v>
      </c>
      <c r="Y26" s="775">
        <f t="shared" si="12"/>
        <v>0</v>
      </c>
      <c r="Z26" s="775">
        <f t="shared" si="12"/>
        <v>0</v>
      </c>
      <c r="AA26" s="775">
        <f t="shared" si="12"/>
        <v>0</v>
      </c>
      <c r="AB26" s="775">
        <f t="shared" si="12"/>
        <v>0</v>
      </c>
      <c r="AC26" s="776">
        <f t="shared" si="12"/>
        <v>0</v>
      </c>
    </row>
    <row r="27" spans="2:29" ht="12.75">
      <c r="B27" s="769"/>
      <c r="C27" s="799" t="s">
        <v>209</v>
      </c>
      <c r="D27" s="341"/>
      <c r="E27" s="740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2"/>
    </row>
    <row r="28" spans="2:29" ht="12.75">
      <c r="B28" s="769"/>
      <c r="C28" s="799" t="s">
        <v>210</v>
      </c>
      <c r="D28" s="341"/>
      <c r="E28" s="740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2"/>
    </row>
    <row r="29" spans="2:29" ht="12.75">
      <c r="B29" s="763"/>
      <c r="C29" s="800" t="s">
        <v>211</v>
      </c>
      <c r="D29" s="765"/>
      <c r="E29" s="777">
        <f>E27+E28</f>
        <v>0</v>
      </c>
      <c r="F29" s="778">
        <f>F27+F28</f>
        <v>0</v>
      </c>
      <c r="G29" s="778">
        <f>G27+G28</f>
        <v>0</v>
      </c>
      <c r="H29" s="778">
        <f>H27+H28</f>
        <v>0</v>
      </c>
      <c r="I29" s="778">
        <f aca="true" t="shared" si="13" ref="I29:AC29">I27+I28</f>
        <v>0</v>
      </c>
      <c r="J29" s="778">
        <f t="shared" si="13"/>
        <v>0</v>
      </c>
      <c r="K29" s="778">
        <f t="shared" si="13"/>
        <v>0</v>
      </c>
      <c r="L29" s="778">
        <f t="shared" si="13"/>
        <v>0</v>
      </c>
      <c r="M29" s="778">
        <f t="shared" si="13"/>
        <v>0</v>
      </c>
      <c r="N29" s="778">
        <f t="shared" si="13"/>
        <v>0</v>
      </c>
      <c r="O29" s="778">
        <f t="shared" si="13"/>
        <v>0</v>
      </c>
      <c r="P29" s="778">
        <f t="shared" si="13"/>
        <v>0</v>
      </c>
      <c r="Q29" s="778">
        <f t="shared" si="13"/>
        <v>0</v>
      </c>
      <c r="R29" s="778">
        <f t="shared" si="13"/>
        <v>0</v>
      </c>
      <c r="S29" s="778">
        <f t="shared" si="13"/>
        <v>0</v>
      </c>
      <c r="T29" s="778">
        <f t="shared" si="13"/>
        <v>0</v>
      </c>
      <c r="U29" s="778">
        <f t="shared" si="13"/>
        <v>0</v>
      </c>
      <c r="V29" s="778">
        <f t="shared" si="13"/>
        <v>0</v>
      </c>
      <c r="W29" s="778">
        <f t="shared" si="13"/>
        <v>0</v>
      </c>
      <c r="X29" s="778">
        <f t="shared" si="13"/>
        <v>0</v>
      </c>
      <c r="Y29" s="778">
        <f t="shared" si="13"/>
        <v>0</v>
      </c>
      <c r="Z29" s="778">
        <f t="shared" si="13"/>
        <v>0</v>
      </c>
      <c r="AA29" s="778">
        <f t="shared" si="13"/>
        <v>0</v>
      </c>
      <c r="AB29" s="778">
        <f t="shared" si="13"/>
        <v>0</v>
      </c>
      <c r="AC29" s="779">
        <f t="shared" si="13"/>
        <v>0</v>
      </c>
    </row>
    <row r="30" spans="2:29" ht="13.5" thickBot="1">
      <c r="B30" s="801"/>
      <c r="C30" s="398" t="s">
        <v>144</v>
      </c>
      <c r="D30" s="802"/>
      <c r="E30" s="780">
        <f>E26+E29</f>
        <v>0</v>
      </c>
      <c r="F30" s="781">
        <f>F26+F29</f>
        <v>0</v>
      </c>
      <c r="G30" s="781">
        <f>G26+G29</f>
        <v>0</v>
      </c>
      <c r="H30" s="781">
        <f>H26+H29</f>
        <v>0</v>
      </c>
      <c r="I30" s="781">
        <f aca="true" t="shared" si="14" ref="I30:AC30">I26+I29</f>
        <v>0</v>
      </c>
      <c r="J30" s="781">
        <f t="shared" si="14"/>
        <v>0</v>
      </c>
      <c r="K30" s="781">
        <f t="shared" si="14"/>
        <v>0</v>
      </c>
      <c r="L30" s="781">
        <f t="shared" si="14"/>
        <v>0</v>
      </c>
      <c r="M30" s="781">
        <f t="shared" si="14"/>
        <v>0</v>
      </c>
      <c r="N30" s="781">
        <f t="shared" si="14"/>
        <v>0</v>
      </c>
      <c r="O30" s="781">
        <f t="shared" si="14"/>
        <v>0</v>
      </c>
      <c r="P30" s="781">
        <f t="shared" si="14"/>
        <v>0</v>
      </c>
      <c r="Q30" s="781">
        <f t="shared" si="14"/>
        <v>0</v>
      </c>
      <c r="R30" s="781">
        <f t="shared" si="14"/>
        <v>0</v>
      </c>
      <c r="S30" s="781">
        <f t="shared" si="14"/>
        <v>0</v>
      </c>
      <c r="T30" s="781">
        <f t="shared" si="14"/>
        <v>0</v>
      </c>
      <c r="U30" s="781">
        <f t="shared" si="14"/>
        <v>0</v>
      </c>
      <c r="V30" s="781">
        <f t="shared" si="14"/>
        <v>0</v>
      </c>
      <c r="W30" s="781">
        <f t="shared" si="14"/>
        <v>0</v>
      </c>
      <c r="X30" s="781">
        <f t="shared" si="14"/>
        <v>0</v>
      </c>
      <c r="Y30" s="781">
        <f t="shared" si="14"/>
        <v>0</v>
      </c>
      <c r="Z30" s="781">
        <f t="shared" si="14"/>
        <v>0</v>
      </c>
      <c r="AA30" s="781">
        <f t="shared" si="14"/>
        <v>0</v>
      </c>
      <c r="AB30" s="781">
        <f t="shared" si="14"/>
        <v>0</v>
      </c>
      <c r="AC30" s="782">
        <f t="shared" si="14"/>
        <v>0</v>
      </c>
    </row>
    <row r="31" spans="2:29" ht="12.75">
      <c r="B31" s="744"/>
      <c r="C31" s="472"/>
      <c r="D31" s="745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</row>
    <row r="32" spans="2:7" ht="13.5" thickBot="1">
      <c r="B32" s="743"/>
      <c r="C32" s="72"/>
      <c r="D32" s="196"/>
      <c r="E32" s="193"/>
      <c r="F32" s="193"/>
      <c r="G32" s="743"/>
    </row>
    <row r="33" spans="2:30" ht="12.75" customHeight="1">
      <c r="B33" s="803" t="s">
        <v>22</v>
      </c>
      <c r="C33" s="804" t="s">
        <v>135</v>
      </c>
      <c r="D33" s="805"/>
      <c r="E33" s="1041">
        <f>E2</f>
        <v>2014</v>
      </c>
      <c r="F33" s="1039">
        <f aca="true" t="shared" si="15" ref="F33:AC33">E33+1</f>
        <v>2015</v>
      </c>
      <c r="G33" s="1039">
        <f t="shared" si="15"/>
        <v>2016</v>
      </c>
      <c r="H33" s="1039">
        <f t="shared" si="15"/>
        <v>2017</v>
      </c>
      <c r="I33" s="1039">
        <f aca="true" t="shared" si="16" ref="I33:S33">H33+1</f>
        <v>2018</v>
      </c>
      <c r="J33" s="1039">
        <f t="shared" si="16"/>
        <v>2019</v>
      </c>
      <c r="K33" s="1039">
        <f t="shared" si="16"/>
        <v>2020</v>
      </c>
      <c r="L33" s="1039">
        <f t="shared" si="16"/>
        <v>2021</v>
      </c>
      <c r="M33" s="1039">
        <f t="shared" si="16"/>
        <v>2022</v>
      </c>
      <c r="N33" s="1039">
        <f t="shared" si="16"/>
        <v>2023</v>
      </c>
      <c r="O33" s="1039">
        <f t="shared" si="16"/>
        <v>2024</v>
      </c>
      <c r="P33" s="1039">
        <f t="shared" si="16"/>
        <v>2025</v>
      </c>
      <c r="Q33" s="1039">
        <f t="shared" si="16"/>
        <v>2026</v>
      </c>
      <c r="R33" s="1039">
        <f t="shared" si="16"/>
        <v>2027</v>
      </c>
      <c r="S33" s="1039">
        <f t="shared" si="16"/>
        <v>2028</v>
      </c>
      <c r="T33" s="1039">
        <f t="shared" si="15"/>
        <v>2029</v>
      </c>
      <c r="U33" s="1039">
        <f t="shared" si="15"/>
        <v>2030</v>
      </c>
      <c r="V33" s="1039">
        <f t="shared" si="15"/>
        <v>2031</v>
      </c>
      <c r="W33" s="1039">
        <f t="shared" si="15"/>
        <v>2032</v>
      </c>
      <c r="X33" s="1039">
        <f t="shared" si="15"/>
        <v>2033</v>
      </c>
      <c r="Y33" s="1039">
        <f t="shared" si="15"/>
        <v>2034</v>
      </c>
      <c r="Z33" s="1039">
        <f t="shared" si="15"/>
        <v>2035</v>
      </c>
      <c r="AA33" s="1039">
        <f t="shared" si="15"/>
        <v>2036</v>
      </c>
      <c r="AB33" s="1039">
        <f t="shared" si="15"/>
        <v>2037</v>
      </c>
      <c r="AC33" s="1047">
        <f t="shared" si="15"/>
        <v>2038</v>
      </c>
      <c r="AD33" s="1045" t="s">
        <v>133</v>
      </c>
    </row>
    <row r="34" spans="2:30" ht="13.5" thickBot="1">
      <c r="B34" s="806" t="s">
        <v>25</v>
      </c>
      <c r="C34" s="807" t="s">
        <v>173</v>
      </c>
      <c r="D34" s="808" t="s">
        <v>83</v>
      </c>
      <c r="E34" s="1042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40"/>
      <c r="AC34" s="1048"/>
      <c r="AD34" s="1046"/>
    </row>
    <row r="35" spans="2:30" ht="12.75">
      <c r="B35" s="115"/>
      <c r="C35" s="116" t="s">
        <v>137</v>
      </c>
      <c r="D35" s="753">
        <f aca="true" t="shared" si="17" ref="D35:D46">SUM(E35:AC35,E50:AC50)</f>
        <v>0</v>
      </c>
      <c r="E35" s="729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1"/>
      <c r="U35" s="731"/>
      <c r="V35" s="731"/>
      <c r="W35" s="731"/>
      <c r="X35" s="731"/>
      <c r="Y35" s="731"/>
      <c r="Z35" s="731"/>
      <c r="AA35" s="731"/>
      <c r="AB35" s="731"/>
      <c r="AC35" s="732"/>
      <c r="AD35" s="783"/>
    </row>
    <row r="36" spans="2:30" ht="12.75">
      <c r="B36" s="119"/>
      <c r="C36" s="120" t="s">
        <v>138</v>
      </c>
      <c r="D36" s="754">
        <f t="shared" si="17"/>
        <v>0</v>
      </c>
      <c r="E36" s="733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5"/>
      <c r="U36" s="735"/>
      <c r="V36" s="735"/>
      <c r="W36" s="735"/>
      <c r="X36" s="735"/>
      <c r="Y36" s="735"/>
      <c r="Z36" s="735"/>
      <c r="AA36" s="735"/>
      <c r="AB36" s="735"/>
      <c r="AC36" s="736"/>
      <c r="AD36" s="784"/>
    </row>
    <row r="37" spans="2:30" ht="12.75">
      <c r="B37" s="769"/>
      <c r="C37" s="793" t="s">
        <v>139</v>
      </c>
      <c r="D37" s="341">
        <f t="shared" si="17"/>
        <v>0</v>
      </c>
      <c r="E37" s="774">
        <f>E36+E35</f>
        <v>0</v>
      </c>
      <c r="F37" s="775">
        <f>F36+F35</f>
        <v>0</v>
      </c>
      <c r="G37" s="775">
        <f>G36+G35</f>
        <v>0</v>
      </c>
      <c r="H37" s="775">
        <f>H36+H35</f>
        <v>0</v>
      </c>
      <c r="I37" s="775">
        <f aca="true" t="shared" si="18" ref="I37:R37">I36+I35</f>
        <v>0</v>
      </c>
      <c r="J37" s="775">
        <f t="shared" si="18"/>
        <v>0</v>
      </c>
      <c r="K37" s="775">
        <f t="shared" si="18"/>
        <v>0</v>
      </c>
      <c r="L37" s="775">
        <f t="shared" si="18"/>
        <v>0</v>
      </c>
      <c r="M37" s="775">
        <f t="shared" si="18"/>
        <v>0</v>
      </c>
      <c r="N37" s="775">
        <f t="shared" si="18"/>
        <v>0</v>
      </c>
      <c r="O37" s="775">
        <f t="shared" si="18"/>
        <v>0</v>
      </c>
      <c r="P37" s="775">
        <f t="shared" si="18"/>
        <v>0</v>
      </c>
      <c r="Q37" s="775">
        <f t="shared" si="18"/>
        <v>0</v>
      </c>
      <c r="R37" s="775">
        <f t="shared" si="18"/>
        <v>0</v>
      </c>
      <c r="S37" s="775">
        <f>S36+S35</f>
        <v>0</v>
      </c>
      <c r="T37" s="775">
        <f>T36+T35</f>
        <v>0</v>
      </c>
      <c r="U37" s="775">
        <f aca="true" t="shared" si="19" ref="U37:AC37">U36+U35</f>
        <v>0</v>
      </c>
      <c r="V37" s="775">
        <f t="shared" si="19"/>
        <v>0</v>
      </c>
      <c r="W37" s="775">
        <f t="shared" si="19"/>
        <v>0</v>
      </c>
      <c r="X37" s="775">
        <f t="shared" si="19"/>
        <v>0</v>
      </c>
      <c r="Y37" s="775">
        <f t="shared" si="19"/>
        <v>0</v>
      </c>
      <c r="Z37" s="775">
        <f t="shared" si="19"/>
        <v>0</v>
      </c>
      <c r="AA37" s="775">
        <f t="shared" si="19"/>
        <v>0</v>
      </c>
      <c r="AB37" s="775">
        <f t="shared" si="19"/>
        <v>0</v>
      </c>
      <c r="AC37" s="776">
        <f t="shared" si="19"/>
        <v>0</v>
      </c>
      <c r="AD37" s="785"/>
    </row>
    <row r="38" spans="2:30" ht="12.75">
      <c r="B38" s="758"/>
      <c r="C38" s="794" t="s">
        <v>141</v>
      </c>
      <c r="D38" s="760">
        <f t="shared" si="17"/>
        <v>0</v>
      </c>
      <c r="E38" s="733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4"/>
      <c r="U38" s="734"/>
      <c r="V38" s="734"/>
      <c r="W38" s="734"/>
      <c r="X38" s="734"/>
      <c r="Y38" s="734"/>
      <c r="Z38" s="734"/>
      <c r="AA38" s="734"/>
      <c r="AB38" s="734"/>
      <c r="AC38" s="736"/>
      <c r="AD38" s="784"/>
    </row>
    <row r="39" spans="2:30" ht="12.75">
      <c r="B39" s="119"/>
      <c r="C39" s="337" t="s">
        <v>142</v>
      </c>
      <c r="D39" s="762">
        <f t="shared" si="17"/>
        <v>0</v>
      </c>
      <c r="E39" s="733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6"/>
      <c r="AD39" s="784"/>
    </row>
    <row r="40" spans="2:30" ht="12.75">
      <c r="B40" s="763"/>
      <c r="C40" s="795" t="s">
        <v>140</v>
      </c>
      <c r="D40" s="765">
        <f t="shared" si="17"/>
        <v>0</v>
      </c>
      <c r="E40" s="774">
        <f>E39+E38</f>
        <v>0</v>
      </c>
      <c r="F40" s="775">
        <f>F39+F38</f>
        <v>0</v>
      </c>
      <c r="G40" s="775">
        <f>G39+G38</f>
        <v>0</v>
      </c>
      <c r="H40" s="775">
        <f>H39+H38</f>
        <v>0</v>
      </c>
      <c r="I40" s="775">
        <f aca="true" t="shared" si="20" ref="I40:R40">I39+I38</f>
        <v>0</v>
      </c>
      <c r="J40" s="775">
        <f t="shared" si="20"/>
        <v>0</v>
      </c>
      <c r="K40" s="775">
        <f t="shared" si="20"/>
        <v>0</v>
      </c>
      <c r="L40" s="775">
        <f t="shared" si="20"/>
        <v>0</v>
      </c>
      <c r="M40" s="775">
        <f t="shared" si="20"/>
        <v>0</v>
      </c>
      <c r="N40" s="775">
        <f t="shared" si="20"/>
        <v>0</v>
      </c>
      <c r="O40" s="775">
        <f t="shared" si="20"/>
        <v>0</v>
      </c>
      <c r="P40" s="775">
        <f t="shared" si="20"/>
        <v>0</v>
      </c>
      <c r="Q40" s="775">
        <f t="shared" si="20"/>
        <v>0</v>
      </c>
      <c r="R40" s="775">
        <f t="shared" si="20"/>
        <v>0</v>
      </c>
      <c r="S40" s="775">
        <f>S39+S38</f>
        <v>0</v>
      </c>
      <c r="T40" s="775">
        <f>T39+T38</f>
        <v>0</v>
      </c>
      <c r="U40" s="775">
        <f aca="true" t="shared" si="21" ref="U40:AC40">U39+U38</f>
        <v>0</v>
      </c>
      <c r="V40" s="775">
        <f t="shared" si="21"/>
        <v>0</v>
      </c>
      <c r="W40" s="775">
        <f t="shared" si="21"/>
        <v>0</v>
      </c>
      <c r="X40" s="775">
        <f t="shared" si="21"/>
        <v>0</v>
      </c>
      <c r="Y40" s="775">
        <f t="shared" si="21"/>
        <v>0</v>
      </c>
      <c r="Z40" s="775">
        <f t="shared" si="21"/>
        <v>0</v>
      </c>
      <c r="AA40" s="775">
        <f t="shared" si="21"/>
        <v>0</v>
      </c>
      <c r="AB40" s="775">
        <f t="shared" si="21"/>
        <v>0</v>
      </c>
      <c r="AC40" s="776">
        <f t="shared" si="21"/>
        <v>0</v>
      </c>
      <c r="AD40" s="785"/>
    </row>
    <row r="41" spans="2:30" ht="13.5" thickBot="1">
      <c r="B41" s="119"/>
      <c r="C41" s="120" t="s">
        <v>166</v>
      </c>
      <c r="D41" s="762">
        <f t="shared" si="17"/>
        <v>0</v>
      </c>
      <c r="E41" s="737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9"/>
      <c r="AD41" s="786"/>
    </row>
    <row r="42" spans="2:30" ht="13.5" thickBot="1">
      <c r="B42" s="796"/>
      <c r="C42" s="797" t="s">
        <v>190</v>
      </c>
      <c r="D42" s="798">
        <f t="shared" si="17"/>
        <v>0</v>
      </c>
      <c r="E42" s="774">
        <f>E37+E40+E41</f>
        <v>0</v>
      </c>
      <c r="F42" s="775">
        <f>F37+F40+F41</f>
        <v>0</v>
      </c>
      <c r="G42" s="775">
        <f>G37+G40+G41</f>
        <v>0</v>
      </c>
      <c r="H42" s="775">
        <f>H37+H40+H41</f>
        <v>0</v>
      </c>
      <c r="I42" s="775">
        <f aca="true" t="shared" si="22" ref="I42:R42">I37+I40+I41</f>
        <v>0</v>
      </c>
      <c r="J42" s="775">
        <f t="shared" si="22"/>
        <v>0</v>
      </c>
      <c r="K42" s="775">
        <f t="shared" si="22"/>
        <v>0</v>
      </c>
      <c r="L42" s="775">
        <f t="shared" si="22"/>
        <v>0</v>
      </c>
      <c r="M42" s="775">
        <f t="shared" si="22"/>
        <v>0</v>
      </c>
      <c r="N42" s="775">
        <f t="shared" si="22"/>
        <v>0</v>
      </c>
      <c r="O42" s="775">
        <f t="shared" si="22"/>
        <v>0</v>
      </c>
      <c r="P42" s="775">
        <f t="shared" si="22"/>
        <v>0</v>
      </c>
      <c r="Q42" s="775">
        <f t="shared" si="22"/>
        <v>0</v>
      </c>
      <c r="R42" s="775">
        <f t="shared" si="22"/>
        <v>0</v>
      </c>
      <c r="S42" s="775">
        <f>S37+S40+S41</f>
        <v>0</v>
      </c>
      <c r="T42" s="775">
        <f>T37+T40+T41</f>
        <v>0</v>
      </c>
      <c r="U42" s="775">
        <f aca="true" t="shared" si="23" ref="U42:AC42">U37+U40+U41</f>
        <v>0</v>
      </c>
      <c r="V42" s="775">
        <f t="shared" si="23"/>
        <v>0</v>
      </c>
      <c r="W42" s="775">
        <f t="shared" si="23"/>
        <v>0</v>
      </c>
      <c r="X42" s="775">
        <f t="shared" si="23"/>
        <v>0</v>
      </c>
      <c r="Y42" s="775">
        <f t="shared" si="23"/>
        <v>0</v>
      </c>
      <c r="Z42" s="775">
        <f t="shared" si="23"/>
        <v>0</v>
      </c>
      <c r="AA42" s="775">
        <f t="shared" si="23"/>
        <v>0</v>
      </c>
      <c r="AB42" s="775">
        <f t="shared" si="23"/>
        <v>0</v>
      </c>
      <c r="AC42" s="776">
        <f t="shared" si="23"/>
        <v>0</v>
      </c>
      <c r="AD42" s="790" t="str">
        <f>IF(D42=('1 Celkové investiční náklady'!F45-'1 Celkové investiční náklady'!F40),"OK","CHYBA!")</f>
        <v>OK</v>
      </c>
    </row>
    <row r="43" spans="2:30" ht="12.75">
      <c r="B43" s="769"/>
      <c r="C43" s="799" t="s">
        <v>209</v>
      </c>
      <c r="D43" s="341">
        <f t="shared" si="17"/>
        <v>0</v>
      </c>
      <c r="E43" s="740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2"/>
      <c r="AD43" s="788"/>
    </row>
    <row r="44" spans="2:30" ht="12.75">
      <c r="B44" s="769"/>
      <c r="C44" s="799" t="s">
        <v>210</v>
      </c>
      <c r="D44" s="341">
        <f t="shared" si="17"/>
        <v>0</v>
      </c>
      <c r="E44" s="740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2"/>
      <c r="AD44" s="789"/>
    </row>
    <row r="45" spans="2:30" ht="13.5" thickBot="1">
      <c r="B45" s="763"/>
      <c r="C45" s="800" t="s">
        <v>211</v>
      </c>
      <c r="D45" s="765">
        <f t="shared" si="17"/>
        <v>0</v>
      </c>
      <c r="E45" s="777">
        <f>E43+E44</f>
        <v>0</v>
      </c>
      <c r="F45" s="778">
        <f>F43+F44</f>
        <v>0</v>
      </c>
      <c r="G45" s="778">
        <f>G43+G44</f>
        <v>0</v>
      </c>
      <c r="H45" s="778">
        <f>H43+H44</f>
        <v>0</v>
      </c>
      <c r="I45" s="778">
        <f aca="true" t="shared" si="24" ref="I45:R45">I43+I44</f>
        <v>0</v>
      </c>
      <c r="J45" s="778">
        <f t="shared" si="24"/>
        <v>0</v>
      </c>
      <c r="K45" s="778">
        <f t="shared" si="24"/>
        <v>0</v>
      </c>
      <c r="L45" s="778">
        <f t="shared" si="24"/>
        <v>0</v>
      </c>
      <c r="M45" s="778">
        <f t="shared" si="24"/>
        <v>0</v>
      </c>
      <c r="N45" s="778">
        <f t="shared" si="24"/>
        <v>0</v>
      </c>
      <c r="O45" s="778">
        <f t="shared" si="24"/>
        <v>0</v>
      </c>
      <c r="P45" s="778">
        <f t="shared" si="24"/>
        <v>0</v>
      </c>
      <c r="Q45" s="778">
        <f t="shared" si="24"/>
        <v>0</v>
      </c>
      <c r="R45" s="778">
        <f t="shared" si="24"/>
        <v>0</v>
      </c>
      <c r="S45" s="778">
        <f>S43+S44</f>
        <v>0</v>
      </c>
      <c r="T45" s="778">
        <f>T43+T44</f>
        <v>0</v>
      </c>
      <c r="U45" s="778">
        <f aca="true" t="shared" si="25" ref="U45:AC45">U43+U44</f>
        <v>0</v>
      </c>
      <c r="V45" s="778">
        <f t="shared" si="25"/>
        <v>0</v>
      </c>
      <c r="W45" s="778">
        <f t="shared" si="25"/>
        <v>0</v>
      </c>
      <c r="X45" s="778">
        <f t="shared" si="25"/>
        <v>0</v>
      </c>
      <c r="Y45" s="778">
        <f t="shared" si="25"/>
        <v>0</v>
      </c>
      <c r="Z45" s="778">
        <f t="shared" si="25"/>
        <v>0</v>
      </c>
      <c r="AA45" s="778">
        <f t="shared" si="25"/>
        <v>0</v>
      </c>
      <c r="AB45" s="778">
        <f t="shared" si="25"/>
        <v>0</v>
      </c>
      <c r="AC45" s="779">
        <f t="shared" si="25"/>
        <v>0</v>
      </c>
      <c r="AD45" s="790"/>
    </row>
    <row r="46" spans="2:30" ht="13.5" thickBot="1">
      <c r="B46" s="801"/>
      <c r="C46" s="398" t="s">
        <v>144</v>
      </c>
      <c r="D46" s="802">
        <f t="shared" si="17"/>
        <v>0</v>
      </c>
      <c r="E46" s="780">
        <f>E42+E45</f>
        <v>0</v>
      </c>
      <c r="F46" s="781">
        <f>F42+F45</f>
        <v>0</v>
      </c>
      <c r="G46" s="781">
        <f>G42+G45</f>
        <v>0</v>
      </c>
      <c r="H46" s="781">
        <f>H42+H45</f>
        <v>0</v>
      </c>
      <c r="I46" s="781">
        <f aca="true" t="shared" si="26" ref="I46:R46">I42+I45</f>
        <v>0</v>
      </c>
      <c r="J46" s="781">
        <f t="shared" si="26"/>
        <v>0</v>
      </c>
      <c r="K46" s="781">
        <f t="shared" si="26"/>
        <v>0</v>
      </c>
      <c r="L46" s="781">
        <f t="shared" si="26"/>
        <v>0</v>
      </c>
      <c r="M46" s="781">
        <f t="shared" si="26"/>
        <v>0</v>
      </c>
      <c r="N46" s="781">
        <f t="shared" si="26"/>
        <v>0</v>
      </c>
      <c r="O46" s="781">
        <f t="shared" si="26"/>
        <v>0</v>
      </c>
      <c r="P46" s="781">
        <f t="shared" si="26"/>
        <v>0</v>
      </c>
      <c r="Q46" s="781">
        <f t="shared" si="26"/>
        <v>0</v>
      </c>
      <c r="R46" s="781">
        <f t="shared" si="26"/>
        <v>0</v>
      </c>
      <c r="S46" s="781">
        <f>S42+S45</f>
        <v>0</v>
      </c>
      <c r="T46" s="781">
        <f>T42+T45</f>
        <v>0</v>
      </c>
      <c r="U46" s="781">
        <f aca="true" t="shared" si="27" ref="U46:AC46">U42+U45</f>
        <v>0</v>
      </c>
      <c r="V46" s="781">
        <f t="shared" si="27"/>
        <v>0</v>
      </c>
      <c r="W46" s="781">
        <f t="shared" si="27"/>
        <v>0</v>
      </c>
      <c r="X46" s="781">
        <f t="shared" si="27"/>
        <v>0</v>
      </c>
      <c r="Y46" s="781">
        <f t="shared" si="27"/>
        <v>0</v>
      </c>
      <c r="Z46" s="781">
        <f t="shared" si="27"/>
        <v>0</v>
      </c>
      <c r="AA46" s="781">
        <f t="shared" si="27"/>
        <v>0</v>
      </c>
      <c r="AB46" s="781">
        <f t="shared" si="27"/>
        <v>0</v>
      </c>
      <c r="AC46" s="782">
        <f t="shared" si="27"/>
        <v>0</v>
      </c>
      <c r="AD46" s="790" t="str">
        <f>IF(D46='1 Celkové investiční náklady'!F45,"OK","CHYBA!")</f>
        <v>OK</v>
      </c>
    </row>
    <row r="47" ht="13.5" thickBot="1"/>
    <row r="48" spans="2:29" ht="12.75">
      <c r="B48" s="803" t="s">
        <v>22</v>
      </c>
      <c r="C48" s="804" t="s">
        <v>135</v>
      </c>
      <c r="D48" s="805"/>
      <c r="E48" s="1041">
        <f>E17</f>
        <v>2039</v>
      </c>
      <c r="F48" s="1039">
        <f aca="true" t="shared" si="28" ref="F48:AC48">E48+1</f>
        <v>2040</v>
      </c>
      <c r="G48" s="1039">
        <f t="shared" si="28"/>
        <v>2041</v>
      </c>
      <c r="H48" s="1039">
        <f t="shared" si="28"/>
        <v>2042</v>
      </c>
      <c r="I48" s="1039">
        <f aca="true" t="shared" si="29" ref="I48:S48">H48+1</f>
        <v>2043</v>
      </c>
      <c r="J48" s="1039">
        <f t="shared" si="29"/>
        <v>2044</v>
      </c>
      <c r="K48" s="1039">
        <f t="shared" si="29"/>
        <v>2045</v>
      </c>
      <c r="L48" s="1039">
        <f t="shared" si="29"/>
        <v>2046</v>
      </c>
      <c r="M48" s="1039">
        <f t="shared" si="29"/>
        <v>2047</v>
      </c>
      <c r="N48" s="1039">
        <f t="shared" si="29"/>
        <v>2048</v>
      </c>
      <c r="O48" s="1039">
        <f t="shared" si="29"/>
        <v>2049</v>
      </c>
      <c r="P48" s="1039">
        <f t="shared" si="29"/>
        <v>2050</v>
      </c>
      <c r="Q48" s="1039">
        <f t="shared" si="29"/>
        <v>2051</v>
      </c>
      <c r="R48" s="1039">
        <f t="shared" si="29"/>
        <v>2052</v>
      </c>
      <c r="S48" s="1039">
        <f t="shared" si="29"/>
        <v>2053</v>
      </c>
      <c r="T48" s="1039">
        <f t="shared" si="28"/>
        <v>2054</v>
      </c>
      <c r="U48" s="1039">
        <f t="shared" si="28"/>
        <v>2055</v>
      </c>
      <c r="V48" s="1039">
        <f t="shared" si="28"/>
        <v>2056</v>
      </c>
      <c r="W48" s="1039">
        <f t="shared" si="28"/>
        <v>2057</v>
      </c>
      <c r="X48" s="1039">
        <f t="shared" si="28"/>
        <v>2058</v>
      </c>
      <c r="Y48" s="1039">
        <f t="shared" si="28"/>
        <v>2059</v>
      </c>
      <c r="Z48" s="1039">
        <f t="shared" si="28"/>
        <v>2060</v>
      </c>
      <c r="AA48" s="1039">
        <f t="shared" si="28"/>
        <v>2061</v>
      </c>
      <c r="AB48" s="1039">
        <f t="shared" si="28"/>
        <v>2062</v>
      </c>
      <c r="AC48" s="1047">
        <f t="shared" si="28"/>
        <v>2063</v>
      </c>
    </row>
    <row r="49" spans="2:29" ht="13.5" thickBot="1">
      <c r="B49" s="806" t="s">
        <v>26</v>
      </c>
      <c r="C49" s="807" t="s">
        <v>173</v>
      </c>
      <c r="D49" s="808"/>
      <c r="E49" s="1042"/>
      <c r="F49" s="1040"/>
      <c r="G49" s="1040"/>
      <c r="H49" s="1040"/>
      <c r="I49" s="1040"/>
      <c r="J49" s="1040"/>
      <c r="K49" s="1040"/>
      <c r="L49" s="1040"/>
      <c r="M49" s="1040"/>
      <c r="N49" s="1040"/>
      <c r="O49" s="1040"/>
      <c r="P49" s="1040"/>
      <c r="Q49" s="1040"/>
      <c r="R49" s="1040"/>
      <c r="S49" s="1040"/>
      <c r="T49" s="1040"/>
      <c r="U49" s="1040"/>
      <c r="V49" s="1040"/>
      <c r="W49" s="1040"/>
      <c r="X49" s="1040"/>
      <c r="Y49" s="1040"/>
      <c r="Z49" s="1040"/>
      <c r="AA49" s="1040"/>
      <c r="AB49" s="1040"/>
      <c r="AC49" s="1048"/>
    </row>
    <row r="50" spans="2:29" ht="12.75">
      <c r="B50" s="119"/>
      <c r="C50" s="116" t="s">
        <v>137</v>
      </c>
      <c r="D50" s="753"/>
      <c r="E50" s="729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1"/>
      <c r="U50" s="731"/>
      <c r="V50" s="731"/>
      <c r="W50" s="731"/>
      <c r="X50" s="731"/>
      <c r="Y50" s="731"/>
      <c r="Z50" s="731"/>
      <c r="AA50" s="731"/>
      <c r="AB50" s="731"/>
      <c r="AC50" s="732"/>
    </row>
    <row r="51" spans="2:29" ht="12.75">
      <c r="B51" s="119"/>
      <c r="C51" s="120" t="s">
        <v>138</v>
      </c>
      <c r="D51" s="754"/>
      <c r="E51" s="733"/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5"/>
      <c r="U51" s="735"/>
      <c r="V51" s="735"/>
      <c r="W51" s="735"/>
      <c r="X51" s="735"/>
      <c r="Y51" s="735"/>
      <c r="Z51" s="735"/>
      <c r="AA51" s="735"/>
      <c r="AB51" s="735"/>
      <c r="AC51" s="736"/>
    </row>
    <row r="52" spans="2:29" ht="12.75">
      <c r="B52" s="769"/>
      <c r="C52" s="793" t="s">
        <v>139</v>
      </c>
      <c r="D52" s="341"/>
      <c r="E52" s="774">
        <f>E51+E50</f>
        <v>0</v>
      </c>
      <c r="F52" s="775">
        <f>F51+F50</f>
        <v>0</v>
      </c>
      <c r="G52" s="775">
        <f>G51+G50</f>
        <v>0</v>
      </c>
      <c r="H52" s="775">
        <f>H51+H50</f>
        <v>0</v>
      </c>
      <c r="I52" s="775">
        <f aca="true" t="shared" si="30" ref="I52:R52">I51+I50</f>
        <v>0</v>
      </c>
      <c r="J52" s="775">
        <f t="shared" si="30"/>
        <v>0</v>
      </c>
      <c r="K52" s="775">
        <f t="shared" si="30"/>
        <v>0</v>
      </c>
      <c r="L52" s="775">
        <f t="shared" si="30"/>
        <v>0</v>
      </c>
      <c r="M52" s="775">
        <f t="shared" si="30"/>
        <v>0</v>
      </c>
      <c r="N52" s="775">
        <f t="shared" si="30"/>
        <v>0</v>
      </c>
      <c r="O52" s="775">
        <f t="shared" si="30"/>
        <v>0</v>
      </c>
      <c r="P52" s="775">
        <f t="shared" si="30"/>
        <v>0</v>
      </c>
      <c r="Q52" s="775">
        <f t="shared" si="30"/>
        <v>0</v>
      </c>
      <c r="R52" s="775">
        <f t="shared" si="30"/>
        <v>0</v>
      </c>
      <c r="S52" s="775">
        <f aca="true" t="shared" si="31" ref="S52:AC52">S51+S50</f>
        <v>0</v>
      </c>
      <c r="T52" s="775">
        <f t="shared" si="31"/>
        <v>0</v>
      </c>
      <c r="U52" s="775">
        <f t="shared" si="31"/>
        <v>0</v>
      </c>
      <c r="V52" s="775">
        <f t="shared" si="31"/>
        <v>0</v>
      </c>
      <c r="W52" s="775">
        <f t="shared" si="31"/>
        <v>0</v>
      </c>
      <c r="X52" s="775">
        <f t="shared" si="31"/>
        <v>0</v>
      </c>
      <c r="Y52" s="775">
        <f t="shared" si="31"/>
        <v>0</v>
      </c>
      <c r="Z52" s="775">
        <f t="shared" si="31"/>
        <v>0</v>
      </c>
      <c r="AA52" s="775">
        <f t="shared" si="31"/>
        <v>0</v>
      </c>
      <c r="AB52" s="775">
        <f t="shared" si="31"/>
        <v>0</v>
      </c>
      <c r="AC52" s="776">
        <f t="shared" si="31"/>
        <v>0</v>
      </c>
    </row>
    <row r="53" spans="2:29" ht="12.75">
      <c r="B53" s="758"/>
      <c r="C53" s="794" t="s">
        <v>141</v>
      </c>
      <c r="D53" s="760"/>
      <c r="E53" s="733"/>
      <c r="F53" s="734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6"/>
    </row>
    <row r="54" spans="2:29" ht="12.75">
      <c r="B54" s="119"/>
      <c r="C54" s="337" t="s">
        <v>142</v>
      </c>
      <c r="D54" s="762"/>
      <c r="E54" s="733"/>
      <c r="F54" s="734"/>
      <c r="G54" s="734"/>
      <c r="H54" s="734"/>
      <c r="I54" s="734"/>
      <c r="J54" s="734"/>
      <c r="K54" s="734"/>
      <c r="L54" s="734"/>
      <c r="M54" s="734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34"/>
      <c r="AC54" s="736"/>
    </row>
    <row r="55" spans="2:29" ht="12.75">
      <c r="B55" s="763"/>
      <c r="C55" s="795" t="s">
        <v>140</v>
      </c>
      <c r="D55" s="765"/>
      <c r="E55" s="774">
        <f>E54+E53</f>
        <v>0</v>
      </c>
      <c r="F55" s="775">
        <f>F54+F53</f>
        <v>0</v>
      </c>
      <c r="G55" s="775">
        <f>G54+G53</f>
        <v>0</v>
      </c>
      <c r="H55" s="775">
        <f>H54+H53</f>
        <v>0</v>
      </c>
      <c r="I55" s="775">
        <f aca="true" t="shared" si="32" ref="I55:R55">I54+I53</f>
        <v>0</v>
      </c>
      <c r="J55" s="775">
        <f t="shared" si="32"/>
        <v>0</v>
      </c>
      <c r="K55" s="775">
        <f t="shared" si="32"/>
        <v>0</v>
      </c>
      <c r="L55" s="775">
        <f t="shared" si="32"/>
        <v>0</v>
      </c>
      <c r="M55" s="775">
        <f t="shared" si="32"/>
        <v>0</v>
      </c>
      <c r="N55" s="775">
        <f t="shared" si="32"/>
        <v>0</v>
      </c>
      <c r="O55" s="775">
        <f t="shared" si="32"/>
        <v>0</v>
      </c>
      <c r="P55" s="775">
        <f t="shared" si="32"/>
        <v>0</v>
      </c>
      <c r="Q55" s="775">
        <f t="shared" si="32"/>
        <v>0</v>
      </c>
      <c r="R55" s="775">
        <f t="shared" si="32"/>
        <v>0</v>
      </c>
      <c r="S55" s="775">
        <f aca="true" t="shared" si="33" ref="S55:AC55">S54+S53</f>
        <v>0</v>
      </c>
      <c r="T55" s="775">
        <f t="shared" si="33"/>
        <v>0</v>
      </c>
      <c r="U55" s="775">
        <f t="shared" si="33"/>
        <v>0</v>
      </c>
      <c r="V55" s="775">
        <f t="shared" si="33"/>
        <v>0</v>
      </c>
      <c r="W55" s="775">
        <f t="shared" si="33"/>
        <v>0</v>
      </c>
      <c r="X55" s="775">
        <f t="shared" si="33"/>
        <v>0</v>
      </c>
      <c r="Y55" s="775">
        <f t="shared" si="33"/>
        <v>0</v>
      </c>
      <c r="Z55" s="775">
        <f t="shared" si="33"/>
        <v>0</v>
      </c>
      <c r="AA55" s="775">
        <f t="shared" si="33"/>
        <v>0</v>
      </c>
      <c r="AB55" s="775">
        <f t="shared" si="33"/>
        <v>0</v>
      </c>
      <c r="AC55" s="776">
        <f t="shared" si="33"/>
        <v>0</v>
      </c>
    </row>
    <row r="56" spans="2:29" ht="13.5" thickBot="1">
      <c r="B56" s="119"/>
      <c r="C56" s="120" t="s">
        <v>166</v>
      </c>
      <c r="D56" s="762"/>
      <c r="E56" s="737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9"/>
    </row>
    <row r="57" spans="2:29" ht="12.75">
      <c r="B57" s="796"/>
      <c r="C57" s="797" t="s">
        <v>190</v>
      </c>
      <c r="D57" s="798"/>
      <c r="E57" s="774">
        <f>E52+E55+E56</f>
        <v>0</v>
      </c>
      <c r="F57" s="775">
        <f>F52+F55+F56</f>
        <v>0</v>
      </c>
      <c r="G57" s="775">
        <f>G52+G55+G56</f>
        <v>0</v>
      </c>
      <c r="H57" s="775">
        <f>H52+H55+H56</f>
        <v>0</v>
      </c>
      <c r="I57" s="775">
        <f aca="true" t="shared" si="34" ref="I57:R57">I52+I55+I56</f>
        <v>0</v>
      </c>
      <c r="J57" s="775">
        <f t="shared" si="34"/>
        <v>0</v>
      </c>
      <c r="K57" s="775">
        <f t="shared" si="34"/>
        <v>0</v>
      </c>
      <c r="L57" s="775">
        <f t="shared" si="34"/>
        <v>0</v>
      </c>
      <c r="M57" s="775">
        <f t="shared" si="34"/>
        <v>0</v>
      </c>
      <c r="N57" s="775">
        <f t="shared" si="34"/>
        <v>0</v>
      </c>
      <c r="O57" s="775">
        <f t="shared" si="34"/>
        <v>0</v>
      </c>
      <c r="P57" s="775">
        <f t="shared" si="34"/>
        <v>0</v>
      </c>
      <c r="Q57" s="775">
        <f t="shared" si="34"/>
        <v>0</v>
      </c>
      <c r="R57" s="775">
        <f t="shared" si="34"/>
        <v>0</v>
      </c>
      <c r="S57" s="775">
        <f aca="true" t="shared" si="35" ref="S57:AC57">S52+S55+S56</f>
        <v>0</v>
      </c>
      <c r="T57" s="775">
        <f t="shared" si="35"/>
        <v>0</v>
      </c>
      <c r="U57" s="775">
        <f t="shared" si="35"/>
        <v>0</v>
      </c>
      <c r="V57" s="775">
        <f t="shared" si="35"/>
        <v>0</v>
      </c>
      <c r="W57" s="775">
        <f t="shared" si="35"/>
        <v>0</v>
      </c>
      <c r="X57" s="775">
        <f t="shared" si="35"/>
        <v>0</v>
      </c>
      <c r="Y57" s="775">
        <f t="shared" si="35"/>
        <v>0</v>
      </c>
      <c r="Z57" s="775">
        <f t="shared" si="35"/>
        <v>0</v>
      </c>
      <c r="AA57" s="775">
        <f t="shared" si="35"/>
        <v>0</v>
      </c>
      <c r="AB57" s="775">
        <f t="shared" si="35"/>
        <v>0</v>
      </c>
      <c r="AC57" s="776">
        <f t="shared" si="35"/>
        <v>0</v>
      </c>
    </row>
    <row r="58" spans="2:29" ht="12.75">
      <c r="B58" s="769"/>
      <c r="C58" s="799" t="s">
        <v>209</v>
      </c>
      <c r="D58" s="341"/>
      <c r="E58" s="740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741"/>
      <c r="Y58" s="741"/>
      <c r="Z58" s="741"/>
      <c r="AA58" s="741"/>
      <c r="AB58" s="741"/>
      <c r="AC58" s="742"/>
    </row>
    <row r="59" spans="2:29" ht="12.75">
      <c r="B59" s="769"/>
      <c r="C59" s="799" t="s">
        <v>210</v>
      </c>
      <c r="D59" s="341"/>
      <c r="E59" s="740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  <c r="AB59" s="741"/>
      <c r="AC59" s="742"/>
    </row>
    <row r="60" spans="2:29" ht="12.75">
      <c r="B60" s="763"/>
      <c r="C60" s="800" t="s">
        <v>211</v>
      </c>
      <c r="D60" s="765"/>
      <c r="E60" s="777">
        <f>E58+E59</f>
        <v>0</v>
      </c>
      <c r="F60" s="778">
        <f>F58+F59</f>
        <v>0</v>
      </c>
      <c r="G60" s="778">
        <f>G58+G59</f>
        <v>0</v>
      </c>
      <c r="H60" s="778">
        <f>H58+H59</f>
        <v>0</v>
      </c>
      <c r="I60" s="778">
        <f aca="true" t="shared" si="36" ref="I60:R60">I58+I59</f>
        <v>0</v>
      </c>
      <c r="J60" s="778">
        <f t="shared" si="36"/>
        <v>0</v>
      </c>
      <c r="K60" s="778">
        <f t="shared" si="36"/>
        <v>0</v>
      </c>
      <c r="L60" s="778">
        <f t="shared" si="36"/>
        <v>0</v>
      </c>
      <c r="M60" s="778">
        <f t="shared" si="36"/>
        <v>0</v>
      </c>
      <c r="N60" s="778">
        <f t="shared" si="36"/>
        <v>0</v>
      </c>
      <c r="O60" s="778">
        <f t="shared" si="36"/>
        <v>0</v>
      </c>
      <c r="P60" s="778">
        <f t="shared" si="36"/>
        <v>0</v>
      </c>
      <c r="Q60" s="778">
        <f t="shared" si="36"/>
        <v>0</v>
      </c>
      <c r="R60" s="778">
        <f t="shared" si="36"/>
        <v>0</v>
      </c>
      <c r="S60" s="778">
        <f aca="true" t="shared" si="37" ref="S60:AC60">S58+S59</f>
        <v>0</v>
      </c>
      <c r="T60" s="778">
        <f t="shared" si="37"/>
        <v>0</v>
      </c>
      <c r="U60" s="778">
        <f t="shared" si="37"/>
        <v>0</v>
      </c>
      <c r="V60" s="778">
        <f t="shared" si="37"/>
        <v>0</v>
      </c>
      <c r="W60" s="778">
        <f t="shared" si="37"/>
        <v>0</v>
      </c>
      <c r="X60" s="778">
        <f t="shared" si="37"/>
        <v>0</v>
      </c>
      <c r="Y60" s="778">
        <f t="shared" si="37"/>
        <v>0</v>
      </c>
      <c r="Z60" s="778">
        <f t="shared" si="37"/>
        <v>0</v>
      </c>
      <c r="AA60" s="778">
        <f t="shared" si="37"/>
        <v>0</v>
      </c>
      <c r="AB60" s="778">
        <f t="shared" si="37"/>
        <v>0</v>
      </c>
      <c r="AC60" s="779">
        <f t="shared" si="37"/>
        <v>0</v>
      </c>
    </row>
    <row r="61" spans="2:29" ht="13.5" thickBot="1">
      <c r="B61" s="801"/>
      <c r="C61" s="398" t="s">
        <v>144</v>
      </c>
      <c r="D61" s="802"/>
      <c r="E61" s="780">
        <f>E57+E60</f>
        <v>0</v>
      </c>
      <c r="F61" s="781">
        <f>F57+F60</f>
        <v>0</v>
      </c>
      <c r="G61" s="781">
        <f>G57+G60</f>
        <v>0</v>
      </c>
      <c r="H61" s="781">
        <f>H57+H60</f>
        <v>0</v>
      </c>
      <c r="I61" s="781">
        <f aca="true" t="shared" si="38" ref="I61:R61">I57+I60</f>
        <v>0</v>
      </c>
      <c r="J61" s="781">
        <f t="shared" si="38"/>
        <v>0</v>
      </c>
      <c r="K61" s="781">
        <f t="shared" si="38"/>
        <v>0</v>
      </c>
      <c r="L61" s="781">
        <f t="shared" si="38"/>
        <v>0</v>
      </c>
      <c r="M61" s="781">
        <f t="shared" si="38"/>
        <v>0</v>
      </c>
      <c r="N61" s="781">
        <f t="shared" si="38"/>
        <v>0</v>
      </c>
      <c r="O61" s="781">
        <f t="shared" si="38"/>
        <v>0</v>
      </c>
      <c r="P61" s="781">
        <f t="shared" si="38"/>
        <v>0</v>
      </c>
      <c r="Q61" s="781">
        <f t="shared" si="38"/>
        <v>0</v>
      </c>
      <c r="R61" s="781">
        <f t="shared" si="38"/>
        <v>0</v>
      </c>
      <c r="S61" s="781">
        <f aca="true" t="shared" si="39" ref="S61:AC61">S57+S60</f>
        <v>0</v>
      </c>
      <c r="T61" s="781">
        <f t="shared" si="39"/>
        <v>0</v>
      </c>
      <c r="U61" s="781">
        <f t="shared" si="39"/>
        <v>0</v>
      </c>
      <c r="V61" s="781">
        <f t="shared" si="39"/>
        <v>0</v>
      </c>
      <c r="W61" s="781">
        <f t="shared" si="39"/>
        <v>0</v>
      </c>
      <c r="X61" s="781">
        <f t="shared" si="39"/>
        <v>0</v>
      </c>
      <c r="Y61" s="781">
        <f t="shared" si="39"/>
        <v>0</v>
      </c>
      <c r="Z61" s="781">
        <f t="shared" si="39"/>
        <v>0</v>
      </c>
      <c r="AA61" s="781">
        <f t="shared" si="39"/>
        <v>0</v>
      </c>
      <c r="AB61" s="781">
        <f t="shared" si="39"/>
        <v>0</v>
      </c>
      <c r="AC61" s="782">
        <f t="shared" si="39"/>
        <v>0</v>
      </c>
    </row>
    <row r="62" ht="13.5" thickBot="1"/>
    <row r="63" spans="2:4" ht="12.75">
      <c r="B63" s="956" t="s">
        <v>77</v>
      </c>
      <c r="C63" s="957"/>
      <c r="D63" s="958"/>
    </row>
    <row r="64" spans="2:4" ht="13.5" thickBot="1">
      <c r="B64" s="1021"/>
      <c r="C64" s="1022"/>
      <c r="D64" s="1023"/>
    </row>
    <row r="65" spans="2:4" ht="13.5" thickBot="1">
      <c r="B65" s="809" t="s">
        <v>134</v>
      </c>
      <c r="C65" s="536"/>
      <c r="D65" s="810"/>
    </row>
    <row r="69" spans="4:20" ht="12.75">
      <c r="D69" s="551"/>
      <c r="G69" s="551"/>
      <c r="T69" s="746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03">
    <mergeCell ref="B63:D64"/>
    <mergeCell ref="E48:E49"/>
    <mergeCell ref="F48:F49"/>
    <mergeCell ref="G48:G49"/>
    <mergeCell ref="O48:O49"/>
    <mergeCell ref="P48:P49"/>
    <mergeCell ref="Q48:Q49"/>
    <mergeCell ref="H48:H49"/>
    <mergeCell ref="I48:I49"/>
    <mergeCell ref="J48:J49"/>
    <mergeCell ref="K48:K49"/>
    <mergeCell ref="L48:L49"/>
    <mergeCell ref="O33:O34"/>
    <mergeCell ref="P33:P34"/>
    <mergeCell ref="Q33:Q34"/>
    <mergeCell ref="R33:R34"/>
    <mergeCell ref="T17:T18"/>
    <mergeCell ref="U17:U18"/>
    <mergeCell ref="T33:T34"/>
    <mergeCell ref="R48:R49"/>
    <mergeCell ref="S48:S49"/>
    <mergeCell ref="S17:S18"/>
    <mergeCell ref="AA48:AA49"/>
    <mergeCell ref="AC48:AC49"/>
    <mergeCell ref="AB48:AB49"/>
    <mergeCell ref="U48:U49"/>
    <mergeCell ref="T48:T49"/>
    <mergeCell ref="V48:V49"/>
    <mergeCell ref="U33:U34"/>
    <mergeCell ref="S33:S34"/>
    <mergeCell ref="X2:X3"/>
    <mergeCell ref="V2:V3"/>
    <mergeCell ref="W48:W49"/>
    <mergeCell ref="X48:X49"/>
    <mergeCell ref="Y48:Y49"/>
    <mergeCell ref="Y2:Y3"/>
    <mergeCell ref="Z2:Z3"/>
    <mergeCell ref="Z17:Z18"/>
    <mergeCell ref="Z33:Z34"/>
    <mergeCell ref="Y17:Y18"/>
    <mergeCell ref="Y33:Y34"/>
    <mergeCell ref="Z48:Z49"/>
    <mergeCell ref="AA17:AA18"/>
    <mergeCell ref="AA33:AA34"/>
    <mergeCell ref="AA2:AA3"/>
    <mergeCell ref="V17:V18"/>
    <mergeCell ref="W17:W18"/>
    <mergeCell ref="V33:V34"/>
    <mergeCell ref="W33:W34"/>
    <mergeCell ref="X17:X18"/>
    <mergeCell ref="W2:W3"/>
    <mergeCell ref="X33:X34"/>
    <mergeCell ref="AD2:AD3"/>
    <mergeCell ref="AD33:AD34"/>
    <mergeCell ref="AB2:AB3"/>
    <mergeCell ref="AC2:AC3"/>
    <mergeCell ref="AB17:AB18"/>
    <mergeCell ref="AC17:AC18"/>
    <mergeCell ref="AB33:AB34"/>
    <mergeCell ref="AC33:AC34"/>
    <mergeCell ref="S2:S3"/>
    <mergeCell ref="T2:T3"/>
    <mergeCell ref="E2:E3"/>
    <mergeCell ref="F2:F3"/>
    <mergeCell ref="G2:G3"/>
    <mergeCell ref="H2:H3"/>
    <mergeCell ref="K2:K3"/>
    <mergeCell ref="L2:L3"/>
    <mergeCell ref="E17:E18"/>
    <mergeCell ref="F17:F18"/>
    <mergeCell ref="G17:G18"/>
    <mergeCell ref="H17:H18"/>
    <mergeCell ref="I17:I18"/>
    <mergeCell ref="J17:J18"/>
    <mergeCell ref="K17:K18"/>
    <mergeCell ref="L17:L18"/>
    <mergeCell ref="R17:R18"/>
    <mergeCell ref="M2:M3"/>
    <mergeCell ref="N2:N3"/>
    <mergeCell ref="O2:O3"/>
    <mergeCell ref="P2:P3"/>
    <mergeCell ref="Q2:Q3"/>
    <mergeCell ref="N17:N18"/>
    <mergeCell ref="R2:R3"/>
    <mergeCell ref="M17:M18"/>
    <mergeCell ref="U2:U3"/>
    <mergeCell ref="E33:E34"/>
    <mergeCell ref="F33:F34"/>
    <mergeCell ref="G33:G34"/>
    <mergeCell ref="H33:H34"/>
    <mergeCell ref="I2:I3"/>
    <mergeCell ref="J2:J3"/>
    <mergeCell ref="O17:O18"/>
    <mergeCell ref="P17:P18"/>
    <mergeCell ref="Q17:Q18"/>
    <mergeCell ref="N48:N49"/>
    <mergeCell ref="M48:M49"/>
    <mergeCell ref="I33:I34"/>
    <mergeCell ref="J33:J34"/>
    <mergeCell ref="K33:K34"/>
    <mergeCell ref="L33:L34"/>
    <mergeCell ref="N33:N34"/>
    <mergeCell ref="M33:M34"/>
  </mergeCells>
  <conditionalFormatting sqref="AD11:AD15 AD42:AD4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landscape" paperSize="9" scale="28" r:id="rId2"/>
  <headerFooter alignWithMargins="0">
    <oddFooter>&amp;L&amp;A&amp;C15.9.2010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MD</cp:lastModifiedBy>
  <cp:lastPrinted>2010-09-14T13:48:03Z</cp:lastPrinted>
  <dcterms:created xsi:type="dcterms:W3CDTF">2004-06-30T11:02:41Z</dcterms:created>
  <dcterms:modified xsi:type="dcterms:W3CDTF">2014-09-24T11:05:19Z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